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3.xml" ContentType="application/vnd.ms-excel.controlproperties+xml"/>
  <Override PartName="/xl/charts/chart1.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ml.chartshape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autoCompressPictures="0"/>
  <mc:AlternateContent xmlns:mc="http://schemas.openxmlformats.org/markup-compatibility/2006">
    <mc:Choice Requires="x15">
      <x15ac:absPath xmlns:x15ac="http://schemas.microsoft.com/office/spreadsheetml/2010/11/ac" url="C:\Users\ksoderberg\OneDrive - Partners in Health\US Public Health Accompaniment Unit\USPHAU Strategy\"/>
    </mc:Choice>
  </mc:AlternateContent>
  <bookViews>
    <workbookView xWindow="0" yWindow="0" windowWidth="28800" windowHeight="11730" tabRatio="879"/>
  </bookViews>
  <sheets>
    <sheet name="Welcome" sheetId="2" r:id="rId1"/>
    <sheet name="Model Introduction" sheetId="42" r:id="rId2"/>
    <sheet name="Use Case Guidelines" sheetId="44" r:id="rId3"/>
    <sheet name="Results and Inputs - Staff " sheetId="35" r:id="rId4"/>
    <sheet name="Results and Inputs - Cases" sheetId="50" r:id="rId5"/>
    <sheet name="Sensitivity Analyses" sheetId="38" r:id="rId6"/>
    <sheet name="Central Data Control" sheetId="8" r:id="rId7"/>
    <sheet name="Sensitivity Setup" sheetId="41" r:id="rId8"/>
    <sheet name="Tornado Setup" sheetId="49" r:id="rId9"/>
  </sheets>
  <definedNames>
    <definedName name="c_select_results_time">'Results and Inputs - Cases'!$F$6</definedName>
    <definedName name="cactual_cases">'Results and Inputs - Cases'!$J$26</definedName>
    <definedName name="cactual_contacts">'Results and Inputs - Cases'!$J$28</definedName>
    <definedName name="cases_default_range">'Results and Inputs - Cases'!$H$35:$H$87</definedName>
    <definedName name="cases_input_range">'Results and Inputs - Cases'!$F$35:$F$87</definedName>
    <definedName name="ccase_backlog">'Results and Inputs - Cases'!$L$26</definedName>
    <definedName name="ccase_backlog3hours">'Results and Inputs - Cases'!$P$26</definedName>
    <definedName name="ccase_backloghours">'Results and Inputs - Cases'!$N$26</definedName>
    <definedName name="ccase_coor_staff">'Results and Inputs - Cases'!$R$15</definedName>
    <definedName name="ccase_investigators">'Results and Inputs - Cases'!$F$75</definedName>
    <definedName name="ccase_supervisor_staff">'Results and Inputs - Cases'!$R$17</definedName>
    <definedName name="ccontact_backlog">'Results and Inputs - Cases'!$L$28</definedName>
    <definedName name="ccontact_backlog3hours">'Results and Inputs - Cases'!$P$28</definedName>
    <definedName name="ccontact_backloghours">'Results and Inputs - Cases'!$N$28</definedName>
    <definedName name="ccontact_capacity">'Results and Inputs - Cases'!$F$28</definedName>
    <definedName name="ccontact_tracers">'Results and Inputs - Cases'!$F$77</definedName>
    <definedName name="ccoor_daily_cases">'Results and Inputs - Cases'!$F$71</definedName>
    <definedName name="cinput_case_hrs_not_reached">'Results and Inputs - Cases'!$F$45</definedName>
    <definedName name="cinput_case_hrs_reached">'Results and Inputs - Cases'!$F$43</definedName>
    <definedName name="cinput_case_prop_reached">'Results and Inputs - Cases'!$F$41</definedName>
    <definedName name="cinput_cont_hrs_not_reached">'Results and Inputs - Cases'!$F$53</definedName>
    <definedName name="cinput_cont_hrs_reached">'Results and Inputs - Cases'!$F$51</definedName>
    <definedName name="cinput_cont_n">'Results and Inputs - Cases'!$F$37</definedName>
    <definedName name="cinput_cont_prop_reached">'Results and Inputs - Cases'!$F$49</definedName>
    <definedName name="cinput_fup_hrs_call">'Results and Inputs - Cases'!$F$59</definedName>
    <definedName name="cinput_fup_hrs_text">'Results and Inputs - Cases'!$F$63</definedName>
    <definedName name="cinput_fup_n_call">'Results and Inputs - Cases'!$F$57</definedName>
    <definedName name="cinput_fup_n_text">'Results and Inputs - Cases'!$F$61</definedName>
    <definedName name="cinput_staff_hrs">'Results and Inputs - Cases'!$F$85</definedName>
    <definedName name="cinvestigator_capacity">'Results and Inputs - Cases'!$F$26</definedName>
    <definedName name="cmax_contacts_by_case">'Results and Inputs - Cases'!$H$28</definedName>
    <definedName name="cnew_daily_case">'Results and Inputs - Cases'!$F$35</definedName>
    <definedName name="cproj_case">'Results and Inputs - Cases'!$F$11</definedName>
    <definedName name="cproj_contact">'Results and Inputs - Cases'!$F$13</definedName>
    <definedName name="cproj_coor">'Results and Inputs - Cases'!$F$15</definedName>
    <definedName name="cproj_supervisor">'Results and Inputs - Cases'!$F$17</definedName>
    <definedName name="cprop_case_coor">'Results and Inputs - Cases'!$F$67</definedName>
    <definedName name="cprop_contact_coor">'Results and Inputs - Cases'!$F$69</definedName>
    <definedName name="cresource_coord">'Results and Inputs - Cases'!$F$79</definedName>
    <definedName name="cstaff_per_supervisor">'Results and Inputs - Cases'!$F$87</definedName>
    <definedName name="csupervisors">'Results and Inputs - Cases'!$F$81</definedName>
    <definedName name="DSA_chart_high">OFFSET(#REF!,1,0,DSA_count_nonzero,1)</definedName>
    <definedName name="DSA_chart_low">OFFSET(#REF!,1,0,DSA_count_nonzero,1)</definedName>
    <definedName name="DSA_chart_scenarios">OFFSET(#REF!,1,0,DSA_count_nonzero,1)</definedName>
    <definedName name="DSA_count_nonzero">'Tornado Setup'!$H$31</definedName>
    <definedName name="DSA_tornado_index">'Central Data Control'!$E$15</definedName>
    <definedName name="DSA_tornado_select">'Central Data Control'!$J$15</definedName>
    <definedName name="DSA_total_list">'Sensitivity Setup'!$E$10:$E$171</definedName>
    <definedName name="DSA_total_number">'Sensitivity Setup'!$F$6</definedName>
    <definedName name="DSAbaseinputs">'Sensitivity Setup'!$H$9:$H$171</definedName>
    <definedName name="DSAbaseinputs_static">'Sensitivity Setup'!$G$9:$G$171</definedName>
    <definedName name="fake_base_case">'Sensitivity Setup'!$E$5</definedName>
    <definedName name="InitialDSA">'Sensitivity Setup'!$I$10</definedName>
    <definedName name="InitialDSA_n_case_inv">'Sensitivity Setup'!$M$10</definedName>
    <definedName name="InitialDSA_n_cont_trac">'Sensitivity Setup'!$N$10</definedName>
    <definedName name="InitialDSA_n_tot_staff">'Sensitivity Setup'!$L$10</definedName>
    <definedName name="InitialDSA_tot_cost">'Sensitivity Setup'!$O$10</definedName>
    <definedName name="input_case_hrs_not_reached">'Results and Inputs - Staff '!$F$38</definedName>
    <definedName name="input_case_hrs_reached">'Results and Inputs - Staff '!$F$36</definedName>
    <definedName name="input_case_n">'Results and Inputs - Staff '!$F$28</definedName>
    <definedName name="input_case_prop_reached">'Results and Inputs - Staff '!$F$34</definedName>
    <definedName name="input_cont_hrs_not_reached">'Results and Inputs - Staff '!$F$46</definedName>
    <definedName name="input_cont_hrs_reached">'Results and Inputs - Staff '!$F$44</definedName>
    <definedName name="input_cont_n">'Results and Inputs - Staff '!$F$30</definedName>
    <definedName name="input_cont_prop_reached">'Results and Inputs - Staff '!$F$42</definedName>
    <definedName name="input_fup_hrs_call">'Results and Inputs - Staff '!$F$52</definedName>
    <definedName name="input_fup_hrs_text">'Results and Inputs - Staff '!$F$56</definedName>
    <definedName name="input_fup_n_call">'Results and Inputs - Staff '!$F$50</definedName>
    <definedName name="input_fup_n_text">'Results and Inputs - Staff '!$F$54</definedName>
    <definedName name="input_n_per_manager">'Results and Inputs - Staff '!$F$71</definedName>
    <definedName name="input_rc_hrs">'Results and Inputs - Staff '!#REF!</definedName>
    <definedName name="input_rc_hrs_fup">'Results and Inputs - Staff '!#REF!</definedName>
    <definedName name="input_rc_n_calls">'Results and Inputs - Staff '!#REF!</definedName>
    <definedName name="input_rc_N_day">'Results and Inputs - Staff '!$F$64</definedName>
    <definedName name="input_rc_prop">'Results and Inputs - Staff '!$F$60</definedName>
    <definedName name="input_rc_prop_contact">'Results and Inputs - Staff '!$F$62</definedName>
    <definedName name="input_staff_days_wk" localSheetId="8">'Results and Inputs - Staff '!#REF!</definedName>
    <definedName name="input_staff_days_wk">'Results and Inputs - Staff '!#REF!</definedName>
    <definedName name="input_staff_hrs">'Results and Inputs - Staff '!$F$69</definedName>
    <definedName name="input_staff_n_super">'Results and Inputs - Staff '!$F$79</definedName>
    <definedName name="input_wage_case_inv">'Results and Inputs - Staff '!$F$73</definedName>
    <definedName name="input_wage_cont_trac">'Results and Inputs - Staff '!$F$75</definedName>
    <definedName name="input_wage_rcoord">'Results and Inputs - Staff '!$F$77</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option_default_user">'Central Data Control'!$D$6:$D$7</definedName>
    <definedName name="option_DSA_tornado">'Central Data Control'!$D$15:$D$18</definedName>
    <definedName name="option_results_time">'Central Data Control'!$D$10:$D$12</definedName>
    <definedName name="result_n_case_inv">'Results and Inputs - Staff '!$F$11</definedName>
    <definedName name="result_n_cont_trac">'Results and Inputs - Staff '!$F$13</definedName>
    <definedName name="result_n_tot_staff">'Results and Inputs - Staff '!$F$20</definedName>
    <definedName name="result_tot_cost">'Results and Inputs - Staff '!$J$20</definedName>
    <definedName name="SAparam">'Sensitivity Analyses'!$F$9</definedName>
    <definedName name="select_results_time">'Results and Inputs - Staff '!$F$6</definedName>
    <definedName name="sort.width.start">'Tornado Setup'!$M$7</definedName>
    <definedName name="staff_default_range">'Results and Inputs - Staff '!$H$28:$H$79</definedName>
    <definedName name="staff_input_range">'Results and Inputs - Staff '!$F$28:$F$79</definedName>
    <definedName name="tornado_center">'Sensitivity Analyses'!$E$29</definedName>
    <definedName name="tornado_center_orig">'Tornado Setup'!$H$32</definedName>
    <definedName name="Tornado_chart_high">OFFSET('Tornado Setup'!$L$6,1,0,DSA_count_nonzero,1)</definedName>
    <definedName name="Tornado_chart_low">OFFSET('Tornado Setup'!$K$6,1,0,DSA_count_nonzero,1)</definedName>
    <definedName name="tornado_nparam">'Sensitivity Analyses'!$F$19</definedName>
    <definedName name="tornado_sort_range_dyn">'Tornado Setup'!$E$7:$H$28</definedName>
    <definedName name="tornado_sort_range_static">'Tornado Setup'!$J$7:$M$28</definedName>
  </definedNames>
  <calcPr calcId="162913"/>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F28" i="50" l="1"/>
  <c r="J28" i="50"/>
  <c r="J26" i="50"/>
  <c r="F15" i="50"/>
  <c r="J15" i="50" s="1"/>
  <c r="H20" i="50"/>
  <c r="F13" i="50"/>
  <c r="F17" i="50" s="1"/>
  <c r="J17" i="50" s="1"/>
  <c r="F11" i="50"/>
  <c r="J11" i="50" s="1"/>
  <c r="H17" i="50"/>
  <c r="H15" i="50"/>
  <c r="H13" i="50"/>
  <c r="H11" i="50"/>
  <c r="F26" i="50"/>
  <c r="H28" i="50" s="1"/>
  <c r="T28" i="50" l="1"/>
  <c r="L28" i="50" s="1"/>
  <c r="N28" i="50" s="1"/>
  <c r="P28" i="50" s="1"/>
  <c r="J13" i="50"/>
  <c r="T26" i="50"/>
  <c r="L26" i="50" s="1"/>
  <c r="N26" i="50" s="1"/>
  <c r="P26" i="50" s="1"/>
  <c r="S11" i="50"/>
  <c r="S13" i="50"/>
  <c r="T13" i="50" s="1"/>
  <c r="S15" i="50"/>
  <c r="T15" i="50" s="1"/>
  <c r="H15" i="35"/>
  <c r="F15" i="35" s="1"/>
  <c r="H13" i="35"/>
  <c r="S17" i="50" l="1"/>
  <c r="T17" i="50" s="1"/>
  <c r="J8" i="35"/>
  <c r="H11" i="35"/>
  <c r="L13" i="50" l="1"/>
  <c r="L15" i="50"/>
  <c r="E70" i="41"/>
  <c r="E68" i="41"/>
  <c r="E66" i="41"/>
  <c r="E64" i="41"/>
  <c r="J15" i="35" l="1"/>
  <c r="J13" i="35"/>
  <c r="L17" i="50" l="1"/>
  <c r="F20" i="50" l="1"/>
  <c r="F46" i="38"/>
  <c r="E56" i="38" l="1"/>
  <c r="F170" i="41" l="1"/>
  <c r="K170" i="41" s="1"/>
  <c r="F167" i="41"/>
  <c r="K167" i="41" s="1"/>
  <c r="F164" i="41"/>
  <c r="F161" i="41"/>
  <c r="K161" i="41" s="1"/>
  <c r="F158" i="41"/>
  <c r="K158" i="41" s="1"/>
  <c r="D158" i="41"/>
  <c r="F171" i="41"/>
  <c r="K171" i="41" s="1"/>
  <c r="F168" i="41"/>
  <c r="K168" i="41" s="1"/>
  <c r="K165" i="41"/>
  <c r="F162" i="41"/>
  <c r="F159" i="41"/>
  <c r="F155" i="41"/>
  <c r="K155" i="41" s="1"/>
  <c r="F152" i="41"/>
  <c r="K152" i="41" s="1"/>
  <c r="F149" i="41"/>
  <c r="E149" i="41" s="1"/>
  <c r="F146" i="41"/>
  <c r="F143" i="41"/>
  <c r="D143" i="41"/>
  <c r="F156" i="41"/>
  <c r="K156" i="41" s="1"/>
  <c r="F153" i="41"/>
  <c r="K153" i="41" s="1"/>
  <c r="K150" i="41"/>
  <c r="F147" i="41"/>
  <c r="K147" i="41" s="1"/>
  <c r="F144" i="41"/>
  <c r="K144" i="41" s="1"/>
  <c r="E134" i="41"/>
  <c r="K49" i="38"/>
  <c r="L63" i="38" s="1"/>
  <c r="F141" i="41"/>
  <c r="K141" i="41" s="1"/>
  <c r="K140" i="41"/>
  <c r="F138" i="41"/>
  <c r="E137" i="41" s="1"/>
  <c r="K137" i="41"/>
  <c r="K135" i="41"/>
  <c r="F132" i="41"/>
  <c r="K132" i="41" s="1"/>
  <c r="F129" i="41"/>
  <c r="K129" i="41" s="1"/>
  <c r="K128" i="41"/>
  <c r="D113" i="41"/>
  <c r="D98" i="41"/>
  <c r="F125" i="41"/>
  <c r="K125" i="41" s="1"/>
  <c r="F122" i="41"/>
  <c r="F119" i="41"/>
  <c r="F116" i="41"/>
  <c r="K116" i="41" s="1"/>
  <c r="F113" i="41"/>
  <c r="K113" i="41" s="1"/>
  <c r="F126" i="41"/>
  <c r="K126" i="41" s="1"/>
  <c r="F123" i="41"/>
  <c r="K123" i="41" s="1"/>
  <c r="K120" i="41"/>
  <c r="F117" i="41"/>
  <c r="F114" i="41"/>
  <c r="F111" i="41"/>
  <c r="K111" i="41" s="1"/>
  <c r="F110" i="41"/>
  <c r="F108" i="41"/>
  <c r="F107" i="41"/>
  <c r="K107" i="41" s="1"/>
  <c r="K105" i="41"/>
  <c r="F104" i="41"/>
  <c r="F102" i="41"/>
  <c r="K102" i="41" s="1"/>
  <c r="F101" i="41"/>
  <c r="K101" i="41" s="1"/>
  <c r="F99" i="41"/>
  <c r="K99" i="41" s="1"/>
  <c r="F98" i="41"/>
  <c r="K98" i="41" s="1"/>
  <c r="O49" i="38"/>
  <c r="H76" i="38" s="1"/>
  <c r="M49" i="38"/>
  <c r="E76" i="38" s="1"/>
  <c r="I49" i="38"/>
  <c r="G63" i="38" s="1"/>
  <c r="G49" i="38"/>
  <c r="E63" i="38" s="1"/>
  <c r="E55" i="38"/>
  <c r="E54" i="38"/>
  <c r="E53" i="38"/>
  <c r="E52" i="38"/>
  <c r="E51" i="38"/>
  <c r="K96" i="41"/>
  <c r="E96" i="41"/>
  <c r="K94" i="41"/>
  <c r="E94" i="41"/>
  <c r="H131" i="41"/>
  <c r="H162" i="41"/>
  <c r="H104" i="41"/>
  <c r="H150" i="41"/>
  <c r="H111" i="41"/>
  <c r="H137" i="41"/>
  <c r="H138" i="41"/>
  <c r="H153" i="41"/>
  <c r="H116" i="41"/>
  <c r="H159" i="41"/>
  <c r="H129" i="41"/>
  <c r="H152" i="41"/>
  <c r="H158" i="41"/>
  <c r="H135" i="41"/>
  <c r="H126" i="41"/>
  <c r="H156" i="41"/>
  <c r="H113" i="41"/>
  <c r="H140" i="41"/>
  <c r="H155" i="41"/>
  <c r="H107" i="41"/>
  <c r="H108" i="41"/>
  <c r="H117" i="41"/>
  <c r="H94" i="41"/>
  <c r="H105" i="41"/>
  <c r="H147" i="41"/>
  <c r="H132" i="41"/>
  <c r="H125" i="41"/>
  <c r="H114" i="41"/>
  <c r="H168" i="41"/>
  <c r="H119" i="41"/>
  <c r="H110" i="41"/>
  <c r="H170" i="41"/>
  <c r="H164" i="41"/>
  <c r="H171" i="41"/>
  <c r="H102" i="41"/>
  <c r="H144" i="41"/>
  <c r="H167" i="41"/>
  <c r="H122" i="41"/>
  <c r="H143" i="41"/>
  <c r="H101" i="41"/>
  <c r="H96" i="41"/>
  <c r="H165" i="41"/>
  <c r="H149" i="41"/>
  <c r="H161" i="41"/>
  <c r="H99" i="41"/>
  <c r="H123" i="41"/>
  <c r="H128" i="41"/>
  <c r="H146" i="41"/>
  <c r="H120" i="41"/>
  <c r="H98" i="41"/>
  <c r="H141" i="41"/>
  <c r="H134" i="41"/>
  <c r="K119" i="41" l="1"/>
  <c r="E119" i="41"/>
  <c r="K104" i="41"/>
  <c r="E104" i="41"/>
  <c r="K164" i="41"/>
  <c r="E164" i="41"/>
  <c r="E143" i="41"/>
  <c r="E146" i="41"/>
  <c r="E170" i="41"/>
  <c r="E167" i="41"/>
  <c r="E161" i="41"/>
  <c r="E158" i="41"/>
  <c r="K162" i="41"/>
  <c r="K159" i="41"/>
  <c r="E155" i="41"/>
  <c r="E152" i="41"/>
  <c r="K149" i="41"/>
  <c r="E128" i="41"/>
  <c r="K146" i="41"/>
  <c r="E131" i="41"/>
  <c r="K143" i="41"/>
  <c r="E140" i="41"/>
  <c r="E98" i="41"/>
  <c r="E107" i="41"/>
  <c r="E122" i="41"/>
  <c r="K134" i="41"/>
  <c r="K131" i="41"/>
  <c r="K138" i="41"/>
  <c r="K122" i="41"/>
  <c r="E116" i="41"/>
  <c r="E113" i="41"/>
  <c r="E125" i="41"/>
  <c r="K117" i="41"/>
  <c r="K114" i="41"/>
  <c r="E110" i="41"/>
  <c r="K110" i="41"/>
  <c r="K108" i="41"/>
  <c r="E101" i="41"/>
  <c r="H32" i="49" a="1"/>
  <c r="H32" i="49" s="1"/>
  <c r="E29" i="38" s="1"/>
  <c r="J15" i="8"/>
  <c r="K86" i="41"/>
  <c r="K76" i="41"/>
  <c r="K70" i="41"/>
  <c r="K60" i="41"/>
  <c r="K50" i="41"/>
  <c r="K40" i="41"/>
  <c r="K30" i="41"/>
  <c r="K20" i="41"/>
  <c r="E30" i="38" l="1"/>
  <c r="D21" i="38"/>
  <c r="K14" i="41"/>
  <c r="K16" i="41"/>
  <c r="K18" i="41"/>
  <c r="K22" i="41"/>
  <c r="K24" i="41"/>
  <c r="K26" i="41"/>
  <c r="K28" i="41"/>
  <c r="K32" i="41"/>
  <c r="K34" i="41"/>
  <c r="K36" i="41"/>
  <c r="K38" i="41"/>
  <c r="K42" i="41"/>
  <c r="K44" i="41"/>
  <c r="K46" i="41"/>
  <c r="K48" i="41"/>
  <c r="K52" i="41"/>
  <c r="K54" i="41"/>
  <c r="K56" i="41"/>
  <c r="K58" i="41"/>
  <c r="K62" i="41"/>
  <c r="K64" i="41"/>
  <c r="K66" i="41"/>
  <c r="K68" i="41"/>
  <c r="K72" i="41"/>
  <c r="K74" i="41"/>
  <c r="K78" i="41"/>
  <c r="K80" i="41"/>
  <c r="K82" i="41"/>
  <c r="K84" i="41"/>
  <c r="K88" i="41"/>
  <c r="K90" i="41"/>
  <c r="K92" i="41"/>
  <c r="K12" i="41"/>
  <c r="E92" i="41"/>
  <c r="E88" i="41"/>
  <c r="E84" i="41"/>
  <c r="E80" i="41"/>
  <c r="E78" i="41"/>
  <c r="E74" i="41"/>
  <c r="E62" i="41"/>
  <c r="E58" i="41"/>
  <c r="E54" i="41"/>
  <c r="E50" i="41"/>
  <c r="E46" i="41"/>
  <c r="E42" i="41"/>
  <c r="E38" i="41"/>
  <c r="E34" i="41"/>
  <c r="E30" i="41"/>
  <c r="E26" i="41"/>
  <c r="E22" i="41"/>
  <c r="E18" i="41"/>
  <c r="E14" i="41"/>
  <c r="E28" i="41"/>
  <c r="E90" i="41"/>
  <c r="E86" i="41"/>
  <c r="E82" i="41"/>
  <c r="E76" i="41"/>
  <c r="E72" i="41"/>
  <c r="E60" i="41"/>
  <c r="E56" i="41"/>
  <c r="E52" i="41"/>
  <c r="E48" i="41"/>
  <c r="E44" i="41"/>
  <c r="E40" i="41"/>
  <c r="E36" i="41"/>
  <c r="E32" i="41"/>
  <c r="E24" i="41"/>
  <c r="E20" i="41"/>
  <c r="E16" i="41"/>
  <c r="E12" i="41"/>
  <c r="H36" i="41"/>
  <c r="H55" i="41"/>
  <c r="H81" i="41"/>
  <c r="H9" i="41"/>
  <c r="H77" i="41"/>
  <c r="H52" i="41"/>
  <c r="H44" i="41"/>
  <c r="H15" i="41"/>
  <c r="H87" i="41"/>
  <c r="H39" i="41"/>
  <c r="H16" i="41"/>
  <c r="H83" i="41"/>
  <c r="H89" i="41"/>
  <c r="H62" i="41"/>
  <c r="H19" i="41"/>
  <c r="H40" i="41"/>
  <c r="H56" i="41"/>
  <c r="H69" i="41"/>
  <c r="H70" i="41"/>
  <c r="H12" i="41"/>
  <c r="H33" i="41"/>
  <c r="H65" i="41"/>
  <c r="H88" i="41"/>
  <c r="H68" i="41"/>
  <c r="H67" i="41"/>
  <c r="H75" i="41"/>
  <c r="H35" i="41"/>
  <c r="H80" i="41"/>
  <c r="H14" i="41"/>
  <c r="H28" i="41"/>
  <c r="H30" i="41"/>
  <c r="H53" i="41"/>
  <c r="H54" i="41"/>
  <c r="H26" i="41"/>
  <c r="H20" i="41"/>
  <c r="H63" i="41"/>
  <c r="H18" i="41"/>
  <c r="H73" i="41"/>
  <c r="H76" i="41"/>
  <c r="H84" i="41"/>
  <c r="H21" i="41"/>
  <c r="H58" i="41"/>
  <c r="H46" i="41"/>
  <c r="H49" i="41"/>
  <c r="H51" i="41"/>
  <c r="H90" i="41"/>
  <c r="H43" i="41"/>
  <c r="H41" i="41"/>
  <c r="H31" i="41"/>
  <c r="H79" i="41"/>
  <c r="H71" i="41"/>
  <c r="H78" i="41"/>
  <c r="H72" i="41"/>
  <c r="H29" i="41"/>
  <c r="H48" i="41"/>
  <c r="H64" i="41"/>
  <c r="H47" i="41"/>
  <c r="H59" i="41"/>
  <c r="H57" i="41"/>
  <c r="H86" i="41"/>
  <c r="H32" i="41"/>
  <c r="H17" i="41"/>
  <c r="H13" i="41"/>
  <c r="H27" i="41"/>
  <c r="H22" i="41"/>
  <c r="H85" i="41"/>
  <c r="H45" i="41"/>
  <c r="H91" i="41"/>
  <c r="H50" i="41"/>
  <c r="H38" i="41"/>
  <c r="H24" i="41"/>
  <c r="H82" i="41"/>
  <c r="H42" i="41"/>
  <c r="H34" i="41"/>
  <c r="H61" i="41"/>
  <c r="H66" i="41"/>
  <c r="H23" i="41"/>
  <c r="H37" i="41"/>
  <c r="H92" i="41"/>
  <c r="H74" i="41"/>
  <c r="H60" i="41"/>
  <c r="L52" i="38" l="1"/>
  <c r="K55" i="38"/>
  <c r="F54" i="38"/>
  <c r="G50" i="38"/>
  <c r="I50" i="38"/>
  <c r="M50" i="38"/>
  <c r="O52" i="38"/>
  <c r="O54" i="38"/>
  <c r="N53" i="38"/>
  <c r="L54" i="38"/>
  <c r="G52" i="38"/>
  <c r="P52" i="38"/>
  <c r="K52" i="38"/>
  <c r="L55" i="38"/>
  <c r="G53" i="38"/>
  <c r="F51" i="38"/>
  <c r="I53" i="38"/>
  <c r="M54" i="38"/>
  <c r="N54" i="38"/>
  <c r="P53" i="38"/>
  <c r="P51" i="38"/>
  <c r="I52" i="38"/>
  <c r="L53" i="38"/>
  <c r="H52" i="38"/>
  <c r="H55" i="38"/>
  <c r="J51" i="38"/>
  <c r="M53" i="38"/>
  <c r="N55" i="38"/>
  <c r="O51" i="38"/>
  <c r="K53" i="38"/>
  <c r="G55" i="38"/>
  <c r="F52" i="38"/>
  <c r="I51" i="38"/>
  <c r="M55" i="38"/>
  <c r="N51" i="38"/>
  <c r="P54" i="38"/>
  <c r="H54" i="38"/>
  <c r="M51" i="38"/>
  <c r="H53" i="38"/>
  <c r="F55" i="38"/>
  <c r="J54" i="38"/>
  <c r="I54" i="38"/>
  <c r="N52" i="38"/>
  <c r="L51" i="38"/>
  <c r="O50" i="38"/>
  <c r="K54" i="38"/>
  <c r="F53" i="38"/>
  <c r="K50" i="38"/>
  <c r="P55" i="38"/>
  <c r="J55" i="38"/>
  <c r="O55" i="38"/>
  <c r="G51" i="38"/>
  <c r="H51" i="38"/>
  <c r="J52" i="38"/>
  <c r="I55" i="38"/>
  <c r="M52" i="38"/>
  <c r="K51" i="38"/>
  <c r="O53" i="38"/>
  <c r="G54" i="38"/>
  <c r="J53" i="38"/>
  <c r="G96" i="38" a="1"/>
  <c r="G96" i="38" s="1"/>
  <c r="G109" i="38" a="1"/>
  <c r="G109" i="38" s="1"/>
  <c r="O104" i="38" a="1"/>
  <c r="O104" i="38" s="1"/>
  <c r="O100" i="38" a="1"/>
  <c r="O100" i="38" s="1"/>
  <c r="O96" i="38" a="1"/>
  <c r="O96" i="38" s="1"/>
  <c r="K113" i="38" a="1"/>
  <c r="K113" i="38" s="1"/>
  <c r="J100" i="38" a="1"/>
  <c r="J100" i="38" s="1"/>
  <c r="I113" i="38" a="1"/>
  <c r="I113" i="38" s="1"/>
  <c r="F96" i="38" a="1"/>
  <c r="F96" i="38" s="1"/>
  <c r="F109" i="38" a="1"/>
  <c r="F109" i="38" s="1"/>
  <c r="N113" i="38" a="1"/>
  <c r="N113" i="38" s="1"/>
  <c r="L109" i="38" a="1"/>
  <c r="L109" i="38" s="1"/>
  <c r="J113" i="38" a="1"/>
  <c r="J113" i="38" s="1"/>
  <c r="I96" i="38" a="1"/>
  <c r="I96" i="38" s="1"/>
  <c r="I109" i="38" a="1"/>
  <c r="I109" i="38" s="1"/>
  <c r="H96" i="38" a="1"/>
  <c r="H96" i="38" s="1"/>
  <c r="H109" i="38" a="1"/>
  <c r="H109" i="38" s="1"/>
  <c r="G104" i="38" a="1"/>
  <c r="G104" i="38" s="1"/>
  <c r="M113" i="38" a="1"/>
  <c r="M113" i="38" s="1"/>
  <c r="K109" i="38" a="1"/>
  <c r="K109" i="38" s="1"/>
  <c r="J96" i="38" a="1"/>
  <c r="J96" i="38" s="1"/>
  <c r="I104" i="38" a="1"/>
  <c r="I104" i="38" s="1"/>
  <c r="J104" i="38" a="1"/>
  <c r="J104" i="38" s="1"/>
  <c r="F104" i="38" a="1"/>
  <c r="F104" i="38" s="1"/>
  <c r="P113" i="38" a="1"/>
  <c r="P113" i="38" s="1"/>
  <c r="N109" i="38" a="1"/>
  <c r="N109" i="38" s="1"/>
  <c r="L104" i="38" a="1"/>
  <c r="L104" i="38" s="1"/>
  <c r="L100" i="38" a="1"/>
  <c r="L100" i="38" s="1"/>
  <c r="L96" i="38" a="1"/>
  <c r="L96" i="38" s="1"/>
  <c r="J109" i="38" a="1"/>
  <c r="J109" i="38" s="1"/>
  <c r="P109" i="38" a="1"/>
  <c r="P109" i="38" s="1"/>
  <c r="H104" i="38" a="1"/>
  <c r="H104" i="38" s="1"/>
  <c r="O113" i="38" a="1"/>
  <c r="O113" i="38" s="1"/>
  <c r="M109" i="38" a="1"/>
  <c r="M109" i="38" s="1"/>
  <c r="K104" i="38" a="1"/>
  <c r="K104" i="38" s="1"/>
  <c r="K100" i="38" a="1"/>
  <c r="K100" i="38" s="1"/>
  <c r="K96" i="38" a="1"/>
  <c r="K96" i="38" s="1"/>
  <c r="G100" i="38" a="1"/>
  <c r="G100" i="38" s="1"/>
  <c r="N96" i="38" a="1"/>
  <c r="N96" i="38" s="1"/>
  <c r="G113" i="38" a="1"/>
  <c r="G113" i="38" s="1"/>
  <c r="F100" i="38" a="1"/>
  <c r="F100" i="38" s="1"/>
  <c r="O109" i="38" a="1"/>
  <c r="O109" i="38" s="1"/>
  <c r="M104" i="38" a="1"/>
  <c r="M104" i="38" s="1"/>
  <c r="M100" i="38" a="1"/>
  <c r="M100" i="38" s="1"/>
  <c r="M96" i="38" a="1"/>
  <c r="M96" i="38" s="1"/>
  <c r="I100" i="38" a="1"/>
  <c r="I100" i="38" s="1"/>
  <c r="N104" i="38" a="1"/>
  <c r="N104" i="38" s="1"/>
  <c r="H100" i="38" a="1"/>
  <c r="H100" i="38" s="1"/>
  <c r="H113" i="38" a="1"/>
  <c r="H113" i="38" s="1"/>
  <c r="F113" i="38" a="1"/>
  <c r="F113" i="38" s="1"/>
  <c r="P104" i="38" a="1"/>
  <c r="P104" i="38" s="1"/>
  <c r="P100" i="38" a="1"/>
  <c r="P100" i="38" s="1"/>
  <c r="P96" i="38" a="1"/>
  <c r="P96" i="38" s="1"/>
  <c r="L113" i="38" a="1"/>
  <c r="L113" i="38" s="1"/>
  <c r="N100" i="38" a="1"/>
  <c r="N100" i="38" s="1"/>
  <c r="E106" i="38"/>
  <c r="E24" i="49"/>
  <c r="E117" i="38"/>
  <c r="E26" i="49"/>
  <c r="E115" i="38"/>
  <c r="E17" i="49"/>
  <c r="E118" i="38"/>
  <c r="E27" i="49"/>
  <c r="E97" i="38"/>
  <c r="E10" i="49"/>
  <c r="E98" i="38"/>
  <c r="E9" i="49"/>
  <c r="E110" i="38"/>
  <c r="E21" i="49"/>
  <c r="E119" i="38"/>
  <c r="E28" i="49"/>
  <c r="E95" i="38"/>
  <c r="E13" i="49"/>
  <c r="E94" i="38"/>
  <c r="E8" i="49"/>
  <c r="E101" i="38"/>
  <c r="E14" i="49"/>
  <c r="E102" i="38"/>
  <c r="E15" i="49"/>
  <c r="E112" i="38"/>
  <c r="E20" i="49"/>
  <c r="E99" i="38"/>
  <c r="E11" i="49"/>
  <c r="E108" i="38"/>
  <c r="E12" i="49"/>
  <c r="E103" i="38"/>
  <c r="E19" i="49"/>
  <c r="E22" i="49"/>
  <c r="E116" i="38"/>
  <c r="E25" i="49"/>
  <c r="E107" i="38"/>
  <c r="E18" i="49"/>
  <c r="E111" i="38"/>
  <c r="E23" i="49"/>
  <c r="E105" i="38"/>
  <c r="E16" i="49"/>
  <c r="E114" i="38"/>
  <c r="E7" i="49"/>
  <c r="F6" i="41"/>
  <c r="F7" i="49" l="1" a="1"/>
  <c r="F7" i="49" s="1"/>
  <c r="G7" i="49" a="1"/>
  <c r="G7" i="49" s="1"/>
  <c r="F8" i="49" a="1"/>
  <c r="F8" i="49" s="1"/>
  <c r="G8" i="49" a="1"/>
  <c r="G8" i="49" s="1"/>
  <c r="F9" i="49" a="1"/>
  <c r="F9" i="49" s="1"/>
  <c r="G9" i="49" a="1"/>
  <c r="G9" i="49" s="1"/>
  <c r="G16" i="49" a="1"/>
  <c r="G16" i="49" s="1"/>
  <c r="F16" i="49" a="1"/>
  <c r="F16" i="49" s="1"/>
  <c r="G22" i="49" a="1"/>
  <c r="G22" i="49" s="1"/>
  <c r="F22" i="49" a="1"/>
  <c r="F22" i="49" s="1"/>
  <c r="G20" i="49" a="1"/>
  <c r="G20" i="49" s="1"/>
  <c r="F20" i="49" a="1"/>
  <c r="F20" i="49" s="1"/>
  <c r="F13" i="49" a="1"/>
  <c r="F13" i="49" s="1"/>
  <c r="G13" i="49" a="1"/>
  <c r="G13" i="49" s="1"/>
  <c r="G10" i="49" a="1"/>
  <c r="G10" i="49" s="1"/>
  <c r="F10" i="49" a="1"/>
  <c r="F10" i="49" s="1"/>
  <c r="F24" i="49" a="1"/>
  <c r="F24" i="49" s="1"/>
  <c r="G24" i="49" a="1"/>
  <c r="G24" i="49" s="1"/>
  <c r="G25" i="49" a="1"/>
  <c r="G25" i="49" s="1"/>
  <c r="F25" i="49" a="1"/>
  <c r="F25" i="49" s="1"/>
  <c r="F11" i="49" a="1"/>
  <c r="F11" i="49" s="1"/>
  <c r="G11" i="49" a="1"/>
  <c r="G11" i="49" s="1"/>
  <c r="G26" i="49" a="1"/>
  <c r="G26" i="49" s="1"/>
  <c r="F26" i="49" a="1"/>
  <c r="F26" i="49" s="1"/>
  <c r="F23" i="49" a="1"/>
  <c r="F23" i="49" s="1"/>
  <c r="G23" i="49" a="1"/>
  <c r="G23" i="49" s="1"/>
  <c r="G19" i="49" a="1"/>
  <c r="G19" i="49" s="1"/>
  <c r="F19" i="49" a="1"/>
  <c r="F19" i="49" s="1"/>
  <c r="F15" i="49" a="1"/>
  <c r="F15" i="49" s="1"/>
  <c r="G15" i="49" a="1"/>
  <c r="G15" i="49" s="1"/>
  <c r="F28" i="49" a="1"/>
  <c r="F28" i="49" s="1"/>
  <c r="G28" i="49" a="1"/>
  <c r="G28" i="49" s="1"/>
  <c r="G27" i="49" a="1"/>
  <c r="G27" i="49" s="1"/>
  <c r="F27" i="49" a="1"/>
  <c r="F27" i="49" s="1"/>
  <c r="F18" i="49" a="1"/>
  <c r="F18" i="49" s="1"/>
  <c r="G18" i="49" a="1"/>
  <c r="G18" i="49" s="1"/>
  <c r="F12" i="49" a="1"/>
  <c r="F12" i="49" s="1"/>
  <c r="G12" i="49" a="1"/>
  <c r="G12" i="49" s="1"/>
  <c r="G14" i="49" a="1"/>
  <c r="G14" i="49" s="1"/>
  <c r="F14" i="49" a="1"/>
  <c r="F14" i="49" s="1"/>
  <c r="F21" i="49" a="1"/>
  <c r="F21" i="49" s="1"/>
  <c r="G21" i="49" a="1"/>
  <c r="G21" i="49" s="1"/>
  <c r="F17" i="49" a="1"/>
  <c r="F17" i="49" s="1"/>
  <c r="G17" i="49" a="1"/>
  <c r="G17" i="49" s="1"/>
  <c r="O112" i="38" a="1"/>
  <c r="O112" i="38" s="1"/>
  <c r="I112" i="38" a="1"/>
  <c r="I112" i="38" s="1"/>
  <c r="L112" i="38" a="1"/>
  <c r="L112" i="38" s="1"/>
  <c r="F112" i="38" a="1"/>
  <c r="F112" i="38" s="1"/>
  <c r="G112" i="38" a="1"/>
  <c r="G112" i="38" s="1"/>
  <c r="K112" i="38" a="1"/>
  <c r="K112" i="38" s="1"/>
  <c r="H112" i="38" a="1"/>
  <c r="H112" i="38" s="1"/>
  <c r="M112" i="38" a="1"/>
  <c r="M112" i="38" s="1"/>
  <c r="N112" i="38" a="1"/>
  <c r="N112" i="38" s="1"/>
  <c r="P112" i="38" a="1"/>
  <c r="P112" i="38" s="1"/>
  <c r="J112" i="38" a="1"/>
  <c r="J112" i="38" s="1"/>
  <c r="F95" i="38" a="1"/>
  <c r="F95" i="38" s="1"/>
  <c r="M95" i="38" a="1"/>
  <c r="M95" i="38" s="1"/>
  <c r="I95" i="38" a="1"/>
  <c r="I95" i="38" s="1"/>
  <c r="H95" i="38" a="1"/>
  <c r="H95" i="38" s="1"/>
  <c r="P95" i="38" a="1"/>
  <c r="P95" i="38" s="1"/>
  <c r="O95" i="38" a="1"/>
  <c r="O95" i="38" s="1"/>
  <c r="J95" i="38" a="1"/>
  <c r="J95" i="38" s="1"/>
  <c r="L95" i="38" a="1"/>
  <c r="L95" i="38" s="1"/>
  <c r="K95" i="38" a="1"/>
  <c r="K95" i="38" s="1"/>
  <c r="G95" i="38" a="1"/>
  <c r="G95" i="38" s="1"/>
  <c r="N95" i="38" a="1"/>
  <c r="N95" i="38" s="1"/>
  <c r="K106" i="38" a="1"/>
  <c r="K106" i="38" s="1"/>
  <c r="N106" i="38" a="1"/>
  <c r="N106" i="38" s="1"/>
  <c r="M106" i="38" a="1"/>
  <c r="M106" i="38" s="1"/>
  <c r="P106" i="38" a="1"/>
  <c r="P106" i="38" s="1"/>
  <c r="G106" i="38" a="1"/>
  <c r="G106" i="38" s="1"/>
  <c r="O106" i="38" a="1"/>
  <c r="O106" i="38" s="1"/>
  <c r="H106" i="38" a="1"/>
  <c r="H106" i="38" s="1"/>
  <c r="I106" i="38" a="1"/>
  <c r="I106" i="38" s="1"/>
  <c r="F106" i="38" a="1"/>
  <c r="F106" i="38" s="1"/>
  <c r="L106" i="38" a="1"/>
  <c r="L106" i="38" s="1"/>
  <c r="J106" i="38" a="1"/>
  <c r="J106" i="38" s="1"/>
  <c r="M111" i="38" a="1"/>
  <c r="M111" i="38" s="1"/>
  <c r="P111" i="38" a="1"/>
  <c r="P111" i="38" s="1"/>
  <c r="L111" i="38" a="1"/>
  <c r="L111" i="38" s="1"/>
  <c r="O111" i="38" a="1"/>
  <c r="O111" i="38" s="1"/>
  <c r="G111" i="38" a="1"/>
  <c r="G111" i="38" s="1"/>
  <c r="H111" i="38" a="1"/>
  <c r="H111" i="38" s="1"/>
  <c r="F111" i="38" a="1"/>
  <c r="F111" i="38" s="1"/>
  <c r="I111" i="38" a="1"/>
  <c r="I111" i="38" s="1"/>
  <c r="K111" i="38" a="1"/>
  <c r="K111" i="38" s="1"/>
  <c r="J111" i="38" a="1"/>
  <c r="J111" i="38" s="1"/>
  <c r="N111" i="38" a="1"/>
  <c r="N111" i="38" s="1"/>
  <c r="M103" i="38" a="1"/>
  <c r="M103" i="38" s="1"/>
  <c r="G103" i="38" a="1"/>
  <c r="G103" i="38" s="1"/>
  <c r="P103" i="38" a="1"/>
  <c r="P103" i="38" s="1"/>
  <c r="L103" i="38" a="1"/>
  <c r="L103" i="38" s="1"/>
  <c r="F103" i="38" a="1"/>
  <c r="F103" i="38" s="1"/>
  <c r="O103" i="38" a="1"/>
  <c r="O103" i="38" s="1"/>
  <c r="I103" i="38" a="1"/>
  <c r="I103" i="38" s="1"/>
  <c r="H103" i="38" a="1"/>
  <c r="H103" i="38" s="1"/>
  <c r="J103" i="38" a="1"/>
  <c r="J103" i="38" s="1"/>
  <c r="K103" i="38" a="1"/>
  <c r="K103" i="38" s="1"/>
  <c r="N103" i="38" a="1"/>
  <c r="N103" i="38" s="1"/>
  <c r="F102" i="38" a="1"/>
  <c r="F102" i="38" s="1"/>
  <c r="K102" i="38" a="1"/>
  <c r="K102" i="38" s="1"/>
  <c r="H102" i="38" a="1"/>
  <c r="H102" i="38" s="1"/>
  <c r="N102" i="38" a="1"/>
  <c r="N102" i="38" s="1"/>
  <c r="I102" i="38" a="1"/>
  <c r="I102" i="38" s="1"/>
  <c r="M102" i="38" a="1"/>
  <c r="M102" i="38" s="1"/>
  <c r="J102" i="38" a="1"/>
  <c r="J102" i="38" s="1"/>
  <c r="P102" i="38" a="1"/>
  <c r="P102" i="38" s="1"/>
  <c r="O102" i="38" a="1"/>
  <c r="O102" i="38" s="1"/>
  <c r="G102" i="38" a="1"/>
  <c r="G102" i="38" s="1"/>
  <c r="L102" i="38" a="1"/>
  <c r="L102" i="38" s="1"/>
  <c r="O119" i="38" a="1"/>
  <c r="O119" i="38" s="1"/>
  <c r="L119" i="38" a="1"/>
  <c r="L119" i="38" s="1"/>
  <c r="K119" i="38" a="1"/>
  <c r="K119" i="38" s="1"/>
  <c r="H119" i="38" a="1"/>
  <c r="H119" i="38" s="1"/>
  <c r="G119" i="38" a="1"/>
  <c r="G119" i="38" s="1"/>
  <c r="M119" i="38" a="1"/>
  <c r="M119" i="38" s="1"/>
  <c r="J119" i="38" a="1"/>
  <c r="J119" i="38" s="1"/>
  <c r="I119" i="38" a="1"/>
  <c r="I119" i="38" s="1"/>
  <c r="N119" i="38" a="1"/>
  <c r="N119" i="38" s="1"/>
  <c r="P119" i="38" a="1"/>
  <c r="P119" i="38" s="1"/>
  <c r="F119" i="38" a="1"/>
  <c r="F119" i="38" s="1"/>
  <c r="M118" i="38" a="1"/>
  <c r="M118" i="38" s="1"/>
  <c r="P118" i="38" a="1"/>
  <c r="P118" i="38" s="1"/>
  <c r="L118" i="38" a="1"/>
  <c r="L118" i="38" s="1"/>
  <c r="J118" i="38" a="1"/>
  <c r="J118" i="38" s="1"/>
  <c r="I118" i="38" a="1"/>
  <c r="I118" i="38" s="1"/>
  <c r="O118" i="38" a="1"/>
  <c r="O118" i="38" s="1"/>
  <c r="G118" i="38" a="1"/>
  <c r="G118" i="38" s="1"/>
  <c r="H118" i="38" a="1"/>
  <c r="H118" i="38" s="1"/>
  <c r="F118" i="38" a="1"/>
  <c r="F118" i="38" s="1"/>
  <c r="K118" i="38" a="1"/>
  <c r="K118" i="38" s="1"/>
  <c r="N118" i="38" a="1"/>
  <c r="N118" i="38" s="1"/>
  <c r="L105" i="38" a="1"/>
  <c r="L105" i="38" s="1"/>
  <c r="K105" i="38" a="1"/>
  <c r="K105" i="38" s="1"/>
  <c r="G105" i="38" a="1"/>
  <c r="G105" i="38" s="1"/>
  <c r="N105" i="38" a="1"/>
  <c r="N105" i="38" s="1"/>
  <c r="F105" i="38" a="1"/>
  <c r="F105" i="38" s="1"/>
  <c r="M105" i="38" a="1"/>
  <c r="M105" i="38" s="1"/>
  <c r="I105" i="38" a="1"/>
  <c r="I105" i="38" s="1"/>
  <c r="H105" i="38" a="1"/>
  <c r="H105" i="38" s="1"/>
  <c r="O105" i="38" a="1"/>
  <c r="O105" i="38" s="1"/>
  <c r="J105" i="38" a="1"/>
  <c r="J105" i="38" s="1"/>
  <c r="P105" i="38" a="1"/>
  <c r="P105" i="38" s="1"/>
  <c r="G97" i="38" a="1"/>
  <c r="G97" i="38" s="1"/>
  <c r="L97" i="38" a="1"/>
  <c r="L97" i="38" s="1"/>
  <c r="F97" i="38" a="1"/>
  <c r="F97" i="38" s="1"/>
  <c r="K97" i="38" a="1"/>
  <c r="K97" i="38" s="1"/>
  <c r="I97" i="38" a="1"/>
  <c r="I97" i="38" s="1"/>
  <c r="H97" i="38" a="1"/>
  <c r="H97" i="38" s="1"/>
  <c r="N97" i="38" a="1"/>
  <c r="N97" i="38" s="1"/>
  <c r="M97" i="38" a="1"/>
  <c r="M97" i="38" s="1"/>
  <c r="J97" i="38" a="1"/>
  <c r="J97" i="38" s="1"/>
  <c r="O97" i="38" a="1"/>
  <c r="O97" i="38" s="1"/>
  <c r="P97" i="38" a="1"/>
  <c r="P97" i="38" s="1"/>
  <c r="H107" i="38" a="1"/>
  <c r="H107" i="38" s="1"/>
  <c r="M107" i="38" a="1"/>
  <c r="M107" i="38" s="1"/>
  <c r="P107" i="38" a="1"/>
  <c r="P107" i="38" s="1"/>
  <c r="J107" i="38" a="1"/>
  <c r="J107" i="38" s="1"/>
  <c r="L107" i="38" a="1"/>
  <c r="L107" i="38" s="1"/>
  <c r="O107" i="38" a="1"/>
  <c r="O107" i="38" s="1"/>
  <c r="G107" i="38" a="1"/>
  <c r="G107" i="38" s="1"/>
  <c r="K107" i="38" a="1"/>
  <c r="K107" i="38" s="1"/>
  <c r="F107" i="38" a="1"/>
  <c r="F107" i="38" s="1"/>
  <c r="N107" i="38" a="1"/>
  <c r="N107" i="38" s="1"/>
  <c r="I107" i="38" a="1"/>
  <c r="I107" i="38" s="1"/>
  <c r="F108" i="38" a="1"/>
  <c r="F108" i="38" s="1"/>
  <c r="O108" i="38" a="1"/>
  <c r="O108" i="38" s="1"/>
  <c r="I108" i="38" a="1"/>
  <c r="I108" i="38" s="1"/>
  <c r="H108" i="38" a="1"/>
  <c r="H108" i="38" s="1"/>
  <c r="J108" i="38" a="1"/>
  <c r="J108" i="38" s="1"/>
  <c r="L108" i="38" a="1"/>
  <c r="L108" i="38" s="1"/>
  <c r="K108" i="38" a="1"/>
  <c r="K108" i="38" s="1"/>
  <c r="M108" i="38" a="1"/>
  <c r="M108" i="38" s="1"/>
  <c r="G108" i="38" a="1"/>
  <c r="G108" i="38" s="1"/>
  <c r="P108" i="38" a="1"/>
  <c r="P108" i="38" s="1"/>
  <c r="N108" i="38" a="1"/>
  <c r="N108" i="38" s="1"/>
  <c r="H101" i="38" a="1"/>
  <c r="H101" i="38" s="1"/>
  <c r="L101" i="38" a="1"/>
  <c r="L101" i="38" s="1"/>
  <c r="J101" i="38" a="1"/>
  <c r="J101" i="38" s="1"/>
  <c r="K101" i="38" a="1"/>
  <c r="K101" i="38" s="1"/>
  <c r="N101" i="38" a="1"/>
  <c r="N101" i="38" s="1"/>
  <c r="M101" i="38" a="1"/>
  <c r="M101" i="38" s="1"/>
  <c r="G101" i="38" a="1"/>
  <c r="G101" i="38" s="1"/>
  <c r="O101" i="38" a="1"/>
  <c r="O101" i="38" s="1"/>
  <c r="P101" i="38" a="1"/>
  <c r="P101" i="38" s="1"/>
  <c r="F101" i="38" a="1"/>
  <c r="F101" i="38" s="1"/>
  <c r="I101" i="38" a="1"/>
  <c r="I101" i="38" s="1"/>
  <c r="K110" i="38" a="1"/>
  <c r="K110" i="38" s="1"/>
  <c r="G110" i="38" a="1"/>
  <c r="G110" i="38" s="1"/>
  <c r="N110" i="38" a="1"/>
  <c r="N110" i="38" s="1"/>
  <c r="F110" i="38" a="1"/>
  <c r="F110" i="38" s="1"/>
  <c r="M110" i="38" a="1"/>
  <c r="M110" i="38" s="1"/>
  <c r="H110" i="38" a="1"/>
  <c r="H110" i="38" s="1"/>
  <c r="P110" i="38" a="1"/>
  <c r="P110" i="38" s="1"/>
  <c r="O110" i="38" a="1"/>
  <c r="O110" i="38" s="1"/>
  <c r="J110" i="38" a="1"/>
  <c r="J110" i="38" s="1"/>
  <c r="I110" i="38" a="1"/>
  <c r="I110" i="38" s="1"/>
  <c r="L110" i="38" a="1"/>
  <c r="L110" i="38" s="1"/>
  <c r="O115" i="38" a="1"/>
  <c r="O115" i="38" s="1"/>
  <c r="H115" i="38" a="1"/>
  <c r="H115" i="38" s="1"/>
  <c r="G115" i="38" a="1"/>
  <c r="G115" i="38" s="1"/>
  <c r="F115" i="38" a="1"/>
  <c r="F115" i="38" s="1"/>
  <c r="J115" i="38" a="1"/>
  <c r="J115" i="38" s="1"/>
  <c r="I115" i="38" a="1"/>
  <c r="I115" i="38" s="1"/>
  <c r="L115" i="38" a="1"/>
  <c r="L115" i="38" s="1"/>
  <c r="K115" i="38" a="1"/>
  <c r="K115" i="38" s="1"/>
  <c r="M115" i="38" a="1"/>
  <c r="M115" i="38" s="1"/>
  <c r="P115" i="38" a="1"/>
  <c r="P115" i="38" s="1"/>
  <c r="N115" i="38" a="1"/>
  <c r="N115" i="38" s="1"/>
  <c r="H114" i="38" a="1"/>
  <c r="H114" i="38" s="1"/>
  <c r="G114" i="38" a="1"/>
  <c r="G114" i="38" s="1"/>
  <c r="F114" i="38" a="1"/>
  <c r="F114" i="38" s="1"/>
  <c r="M114" i="38" a="1"/>
  <c r="M114" i="38" s="1"/>
  <c r="P114" i="38" a="1"/>
  <c r="P114" i="38" s="1"/>
  <c r="J114" i="38" a="1"/>
  <c r="J114" i="38" s="1"/>
  <c r="L114" i="38" a="1"/>
  <c r="L114" i="38" s="1"/>
  <c r="O114" i="38" a="1"/>
  <c r="O114" i="38" s="1"/>
  <c r="K114" i="38" a="1"/>
  <c r="K114" i="38" s="1"/>
  <c r="N114" i="38" a="1"/>
  <c r="N114" i="38" s="1"/>
  <c r="I114" i="38" a="1"/>
  <c r="I114" i="38" s="1"/>
  <c r="L116" i="38" a="1"/>
  <c r="L116" i="38" s="1"/>
  <c r="H116" i="38" a="1"/>
  <c r="H116" i="38" s="1"/>
  <c r="G116" i="38" a="1"/>
  <c r="G116" i="38" s="1"/>
  <c r="F116" i="38" a="1"/>
  <c r="F116" i="38" s="1"/>
  <c r="K116" i="38" a="1"/>
  <c r="K116" i="38" s="1"/>
  <c r="J116" i="38" a="1"/>
  <c r="J116" i="38" s="1"/>
  <c r="N116" i="38" a="1"/>
  <c r="N116" i="38" s="1"/>
  <c r="P116" i="38" a="1"/>
  <c r="P116" i="38" s="1"/>
  <c r="M116" i="38" a="1"/>
  <c r="M116" i="38" s="1"/>
  <c r="O116" i="38" a="1"/>
  <c r="O116" i="38" s="1"/>
  <c r="I116" i="38" a="1"/>
  <c r="I116" i="38" s="1"/>
  <c r="M99" i="38" a="1"/>
  <c r="M99" i="38" s="1"/>
  <c r="P99" i="38" a="1"/>
  <c r="P99" i="38" s="1"/>
  <c r="L99" i="38" a="1"/>
  <c r="L99" i="38" s="1"/>
  <c r="I99" i="38" a="1"/>
  <c r="I99" i="38" s="1"/>
  <c r="O99" i="38" a="1"/>
  <c r="O99" i="38" s="1"/>
  <c r="G99" i="38" a="1"/>
  <c r="G99" i="38" s="1"/>
  <c r="H99" i="38" a="1"/>
  <c r="H99" i="38" s="1"/>
  <c r="K99" i="38" a="1"/>
  <c r="K99" i="38" s="1"/>
  <c r="N99" i="38" a="1"/>
  <c r="N99" i="38" s="1"/>
  <c r="J99" i="38" a="1"/>
  <c r="J99" i="38" s="1"/>
  <c r="F99" i="38" a="1"/>
  <c r="F99" i="38" s="1"/>
  <c r="K94" i="38" a="1"/>
  <c r="K94" i="38" s="1"/>
  <c r="N94" i="38" a="1"/>
  <c r="N94" i="38" s="1"/>
  <c r="M94" i="38" a="1"/>
  <c r="M94" i="38" s="1"/>
  <c r="P94" i="38" a="1"/>
  <c r="P94" i="38" s="1"/>
  <c r="O94" i="38" a="1"/>
  <c r="O94" i="38" s="1"/>
  <c r="H94" i="38" a="1"/>
  <c r="H94" i="38" s="1"/>
  <c r="F94" i="38" a="1"/>
  <c r="F94" i="38" s="1"/>
  <c r="J94" i="38" a="1"/>
  <c r="J94" i="38" s="1"/>
  <c r="I94" i="38" a="1"/>
  <c r="I94" i="38" s="1"/>
  <c r="G94" i="38" a="1"/>
  <c r="G94" i="38" s="1"/>
  <c r="L94" i="38" a="1"/>
  <c r="L94" i="38" s="1"/>
  <c r="K98" i="38" a="1"/>
  <c r="K98" i="38" s="1"/>
  <c r="N98" i="38" a="1"/>
  <c r="N98" i="38" s="1"/>
  <c r="J98" i="38" a="1"/>
  <c r="J98" i="38" s="1"/>
  <c r="G98" i="38" a="1"/>
  <c r="G98" i="38" s="1"/>
  <c r="M98" i="38" a="1"/>
  <c r="M98" i="38" s="1"/>
  <c r="F98" i="38" a="1"/>
  <c r="F98" i="38" s="1"/>
  <c r="P98" i="38" a="1"/>
  <c r="P98" i="38" s="1"/>
  <c r="H98" i="38" a="1"/>
  <c r="H98" i="38" s="1"/>
  <c r="O98" i="38" a="1"/>
  <c r="O98" i="38" s="1"/>
  <c r="I98" i="38" a="1"/>
  <c r="I98" i="38" s="1"/>
  <c r="L98" i="38" a="1"/>
  <c r="L98" i="38" s="1"/>
  <c r="K117" i="38" a="1"/>
  <c r="K117" i="38" s="1"/>
  <c r="N117" i="38" a="1"/>
  <c r="N117" i="38" s="1"/>
  <c r="M117" i="38" a="1"/>
  <c r="M117" i="38" s="1"/>
  <c r="H117" i="38" a="1"/>
  <c r="H117" i="38" s="1"/>
  <c r="G117" i="38" a="1"/>
  <c r="G117" i="38" s="1"/>
  <c r="F117" i="38" a="1"/>
  <c r="F117" i="38" s="1"/>
  <c r="P117" i="38" a="1"/>
  <c r="P117" i="38" s="1"/>
  <c r="O117" i="38" a="1"/>
  <c r="O117" i="38" s="1"/>
  <c r="J117" i="38" a="1"/>
  <c r="J117" i="38" s="1"/>
  <c r="I117" i="38" a="1"/>
  <c r="I117" i="38" s="1"/>
  <c r="L117" i="38" a="1"/>
  <c r="L117" i="38" s="1"/>
  <c r="H13" i="49" l="1"/>
  <c r="H27" i="49"/>
  <c r="H15" i="49"/>
  <c r="H19" i="49"/>
  <c r="H16" i="49"/>
  <c r="H7" i="49"/>
  <c r="H11" i="49"/>
  <c r="H20" i="49"/>
  <c r="H14" i="49"/>
  <c r="H18" i="49"/>
  <c r="H8" i="49"/>
  <c r="H22" i="49"/>
  <c r="H21" i="49"/>
  <c r="H9" i="49"/>
  <c r="H24" i="49"/>
  <c r="H10" i="49"/>
  <c r="H23" i="49"/>
  <c r="H12" i="49"/>
  <c r="H17" i="49"/>
  <c r="H28" i="49"/>
  <c r="H26" i="49"/>
  <c r="H25" i="49"/>
  <c r="F13" i="35"/>
  <c r="H31" i="49" l="1"/>
  <c r="G31" i="38"/>
  <c r="J11" i="35" l="1"/>
  <c r="F11" i="35" l="1"/>
  <c r="F17" i="35" s="1"/>
  <c r="H17" i="35" s="1"/>
  <c r="H20" i="35" l="1"/>
  <c r="J17" i="35"/>
  <c r="J20" i="35" s="1"/>
  <c r="F20" i="35"/>
</calcChain>
</file>

<file path=xl/comments1.xml><?xml version="1.0" encoding="utf-8"?>
<comments xmlns="http://schemas.openxmlformats.org/spreadsheetml/2006/main">
  <authors>
    <author>Analysis Group</author>
  </authors>
  <commentList>
    <comment ref="H25" authorId="0" shapeId="0">
      <text>
        <r>
          <rPr>
            <b/>
            <sz val="9"/>
            <color indexed="81"/>
            <rFont val="Tahoma"/>
            <family val="2"/>
          </rPr>
          <t>Analysis Group:</t>
        </r>
        <r>
          <rPr>
            <sz val="9"/>
            <color indexed="81"/>
            <rFont val="Tahoma"/>
            <family val="2"/>
          </rPr>
          <t xml:space="preserve">
To be updated with assistance from PIH</t>
        </r>
      </text>
    </comment>
    <comment ref="J25" authorId="0" shapeId="0">
      <text>
        <r>
          <rPr>
            <b/>
            <sz val="9"/>
            <color indexed="81"/>
            <rFont val="Tahoma"/>
            <family val="2"/>
          </rPr>
          <t>Analysis Group:</t>
        </r>
        <r>
          <rPr>
            <sz val="9"/>
            <color indexed="81"/>
            <rFont val="Tahoma"/>
            <family val="2"/>
          </rPr>
          <t xml:space="preserve">
To be filled in once default values are added</t>
        </r>
      </text>
    </comment>
  </commentList>
</comments>
</file>

<file path=xl/comments2.xml><?xml version="1.0" encoding="utf-8"?>
<comments xmlns="http://schemas.openxmlformats.org/spreadsheetml/2006/main">
  <authors>
    <author>Analysis Group</author>
  </authors>
  <commentList>
    <comment ref="H32" authorId="0" shapeId="0">
      <text>
        <r>
          <rPr>
            <b/>
            <sz val="9"/>
            <color indexed="81"/>
            <rFont val="Tahoma"/>
            <family val="2"/>
          </rPr>
          <t>Analysis Group:</t>
        </r>
        <r>
          <rPr>
            <sz val="9"/>
            <color indexed="81"/>
            <rFont val="Tahoma"/>
            <family val="2"/>
          </rPr>
          <t xml:space="preserve">
To be updated with assistance from PIH</t>
        </r>
      </text>
    </comment>
    <comment ref="J32" authorId="0" shapeId="0">
      <text>
        <r>
          <rPr>
            <b/>
            <sz val="9"/>
            <color indexed="81"/>
            <rFont val="Tahoma"/>
            <family val="2"/>
          </rPr>
          <t>Analysis Group:</t>
        </r>
        <r>
          <rPr>
            <sz val="9"/>
            <color indexed="81"/>
            <rFont val="Tahoma"/>
            <family val="2"/>
          </rPr>
          <t xml:space="preserve">
To be filled in once default values are added</t>
        </r>
      </text>
    </comment>
  </commentList>
</comments>
</file>

<file path=xl/sharedStrings.xml><?xml version="1.0" encoding="utf-8"?>
<sst xmlns="http://schemas.openxmlformats.org/spreadsheetml/2006/main" count="462" uniqueCount="241">
  <si>
    <t>Model Introduction</t>
  </si>
  <si>
    <t>Objective</t>
  </si>
  <si>
    <t>1. Please enable macros before using this model</t>
  </si>
  <si>
    <t>2. Color scheme of model worksheets</t>
  </si>
  <si>
    <t>Worksheet name</t>
  </si>
  <si>
    <t>Description</t>
  </si>
  <si>
    <t>Welcome</t>
  </si>
  <si>
    <t>Title page</t>
  </si>
  <si>
    <t>CENTRAL DATA CONTROL</t>
  </si>
  <si>
    <t>condition_select</t>
  </si>
  <si>
    <t>TECHNICAL GUIDE</t>
  </si>
  <si>
    <t>RESULTS</t>
  </si>
  <si>
    <t>Introduction</t>
  </si>
  <si>
    <t>ATTRIBUTES</t>
  </si>
  <si>
    <t>Overview of attributes and navigation</t>
  </si>
  <si>
    <t>Staffing User Input and Results</t>
  </si>
  <si>
    <t>User inputs and staff optimization results</t>
  </si>
  <si>
    <t>Overview of Tool</t>
  </si>
  <si>
    <t>Worker Types Modeled</t>
  </si>
  <si>
    <t>OVERVIEW</t>
  </si>
  <si>
    <t>Model User Inputs</t>
  </si>
  <si>
    <t>Model Outputs</t>
  </si>
  <si>
    <t>Number of staff needed</t>
  </si>
  <si>
    <t>Staff type</t>
  </si>
  <si>
    <t>Contact tracers</t>
  </si>
  <si>
    <t>Supervisors/managers</t>
  </si>
  <si>
    <t>TOTAL</t>
  </si>
  <si>
    <t>INPUTS</t>
  </si>
  <si>
    <t>New cases per day</t>
  </si>
  <si>
    <t>Average number of contacts per case</t>
  </si>
  <si>
    <t>User input value</t>
  </si>
  <si>
    <t>Default value</t>
  </si>
  <si>
    <t>Epidemiology inputs</t>
  </si>
  <si>
    <t>Input value</t>
  </si>
  <si>
    <t>Staffing assumptions</t>
  </si>
  <si>
    <t>Number of staff per supervisor/manager</t>
  </si>
  <si>
    <t>Default or user input dropdown</t>
  </si>
  <si>
    <t>option_default_user</t>
  </si>
  <si>
    <t>Health Conditions Modeled</t>
  </si>
  <si>
    <t>Proportion of cases reached</t>
  </si>
  <si>
    <t>Proportion of contacts reached</t>
  </si>
  <si>
    <t>Number of follow-up calls</t>
  </si>
  <si>
    <t>Number of follow-up text messages</t>
  </si>
  <si>
    <t>View results by:</t>
  </si>
  <si>
    <t>option_results_time</t>
  </si>
  <si>
    <t>Day</t>
  </si>
  <si>
    <t>Month</t>
  </si>
  <si>
    <t>Projection of staffing for COVID-19 Partners in Health (PIH) contact tracing program</t>
  </si>
  <si>
    <t>Boston, MA, USA</t>
  </si>
  <si>
    <t>COVID-19 Contact Tracing 
Staff Projection Tool</t>
  </si>
  <si>
    <t>The goal of this tool is to support regional teams to project the need for COVID-19 contact tracing staff. Users of this tool will need to provide information on regional COVID-19 incidence, but can rely on average demographic and contact information or, if available, provide statistics specific to their own region. The model then calculates an estimate of required contact tracing staff based on the user inputs</t>
  </si>
  <si>
    <t>• Sars-cov2 virus (a.k.a COVID-19)</t>
  </si>
  <si>
    <t xml:space="preserve">• Success rates of patient and contact outreach
</t>
  </si>
  <si>
    <t xml:space="preserve">• Timing estimates and staffing model (e.g., hours worked per week) for infected patient and contact outreach
</t>
  </si>
  <si>
    <t>Number of New Daily Positive Cases</t>
  </si>
  <si>
    <t>Minutes spent on each case reached</t>
  </si>
  <si>
    <r>
      <t xml:space="preserve">Minutes spent on each case </t>
    </r>
    <r>
      <rPr>
        <b/>
        <u/>
        <sz val="12"/>
        <color theme="1"/>
        <rFont val="Myriad"/>
      </rPr>
      <t>not</t>
    </r>
    <r>
      <rPr>
        <b/>
        <sz val="12"/>
        <color theme="1"/>
        <rFont val="Myriad"/>
      </rPr>
      <t xml:space="preserve"> reached</t>
    </r>
  </si>
  <si>
    <t>Minutes spent on each contact reached</t>
  </si>
  <si>
    <r>
      <t xml:space="preserve">Minutes spent on each contact </t>
    </r>
    <r>
      <rPr>
        <b/>
        <u/>
        <sz val="12"/>
        <color theme="1"/>
        <rFont val="Myriad"/>
      </rPr>
      <t>not</t>
    </r>
    <r>
      <rPr>
        <b/>
        <sz val="12"/>
        <color theme="1"/>
        <rFont val="Myriad"/>
      </rPr>
      <t xml:space="preserve"> reached</t>
    </r>
  </si>
  <si>
    <t>Minutes spent on each follow-up call</t>
  </si>
  <si>
    <t>• Case investigators</t>
  </si>
  <si>
    <t>• Contact tracers</t>
  </si>
  <si>
    <t>• Resource managers</t>
  </si>
  <si>
    <t>• Supervisors/managers</t>
  </si>
  <si>
    <t>Hourly rate - case investigator</t>
  </si>
  <si>
    <t>Hourly rate - contact tracer</t>
  </si>
  <si>
    <t>Hourly rate - resource coordinator</t>
  </si>
  <si>
    <t>Hourly rate - supervisors/managers</t>
  </si>
  <si>
    <t xml:space="preserve">• Estimated number of case investigators and associated cost
</t>
  </si>
  <si>
    <t xml:space="preserve">• Estimated number of contact tracers and associated cost
</t>
  </si>
  <si>
    <t xml:space="preserve">• Estimated number of resource managers and associated cost
</t>
  </si>
  <si>
    <t xml:space="preserve">• Estimated number of supervisors/managers and associated cost
</t>
  </si>
  <si>
    <t>Sensitivity Analyses</t>
  </si>
  <si>
    <t>Provides resource estimates based on percentage increases and decreases of number of positive cases and average number of contacts</t>
  </si>
  <si>
    <t xml:space="preserve">• Average regional COVID-19 positive tests and contacts per positive test
</t>
  </si>
  <si>
    <t>Note - Average inputs are available if user does not have access to regional information</t>
  </si>
  <si>
    <t>Case investigators</t>
  </si>
  <si>
    <t>Resource coordinators</t>
  </si>
  <si>
    <t>Notes and instructions</t>
  </si>
  <si>
    <t>Case investigation inputs</t>
  </si>
  <si>
    <t>Contact tracing inputs - initial contact</t>
  </si>
  <si>
    <t>Contact tracing inputs - follow-up</t>
  </si>
  <si>
    <t>Base-case</t>
  </si>
  <si>
    <t>Base-case input 
value</t>
  </si>
  <si>
    <t>Range of input values tested</t>
  </si>
  <si>
    <t>Tornado center:</t>
  </si>
  <si>
    <t>High result value</t>
  </si>
  <si>
    <t>Low result
value</t>
  </si>
  <si>
    <t>High input value</t>
  </si>
  <si>
    <t>Low input 
value</t>
  </si>
  <si>
    <t>Number of case investigators needed</t>
  </si>
  <si>
    <t>Include scenario analyses in tornado diagram?</t>
  </si>
  <si>
    <t>Default range of variation:</t>
  </si>
  <si>
    <t>Number of parameters to show in tornado diagram:</t>
  </si>
  <si>
    <t>Note: Sensitivity analyses that have no impact on the outcome are left out of the tornado diagram, regardless of the number of parameters selected for inclusion in the tornado diagram</t>
  </si>
  <si>
    <t>View tornado diagram based on:</t>
  </si>
  <si>
    <t>►</t>
  </si>
  <si>
    <t>Minutes spent on each follow-up text message</t>
  </si>
  <si>
    <t>Number of contact tracers needed</t>
  </si>
  <si>
    <t>Total cost of staff</t>
  </si>
  <si>
    <t>SENSITIVITY RESULTS - BY NUMBER OF CASES AND CONTACTS</t>
  </si>
  <si>
    <t>SENSITIVITY RESULTS - INDIVIDUAL PARAMETERS</t>
  </si>
  <si>
    <t>Resource coordinator inputs</t>
  </si>
  <si>
    <t>Proportion of cases requesting coodinators</t>
  </si>
  <si>
    <t>Productive hours per employee per week</t>
  </si>
  <si>
    <t>Hired Staff</t>
  </si>
  <si>
    <t>Overall contact tracing capacity</t>
  </si>
  <si>
    <t>Total daily work hours</t>
  </si>
  <si>
    <t>Results and Inputs - Cases</t>
  </si>
  <si>
    <t>Results and Inputs - Staff</t>
  </si>
  <si>
    <t>Week</t>
  </si>
  <si>
    <t>High</t>
  </si>
  <si>
    <t>Low</t>
  </si>
  <si>
    <t>fake_base_case</t>
  </si>
  <si>
    <t>Input SA value</t>
  </si>
  <si>
    <t>Explanation</t>
  </si>
  <si>
    <t>Parameter</t>
  </si>
  <si>
    <t>Base-case (value)</t>
  </si>
  <si>
    <t>High or low?</t>
  </si>
  <si>
    <t>Total number of DSA parameters</t>
  </si>
  <si>
    <t>DSA Setup</t>
  </si>
  <si>
    <t>Input type</t>
  </si>
  <si>
    <t>input_case_n</t>
  </si>
  <si>
    <t>input_cont_n</t>
  </si>
  <si>
    <t>input_case_prop_reached</t>
  </si>
  <si>
    <t>input_case_hrs_reached</t>
  </si>
  <si>
    <t>input_case_hrs_not_reached</t>
  </si>
  <si>
    <t>input_cont_prop_reached</t>
  </si>
  <si>
    <t>input_cont_hrs_reached</t>
  </si>
  <si>
    <t>input_cont_hrs_not_reached</t>
  </si>
  <si>
    <t>input_fup_n_call</t>
  </si>
  <si>
    <t>input_fup_hrs_call</t>
  </si>
  <si>
    <t>input_fup_n_text</t>
  </si>
  <si>
    <t>input_fup_hrs_text</t>
  </si>
  <si>
    <t>input_rc_prop</t>
  </si>
  <si>
    <t>input_staff_hrs</t>
  </si>
  <si>
    <t>input_n_per_manager</t>
  </si>
  <si>
    <t>input_wage_case_inv</t>
  </si>
  <si>
    <t>input_wage_cont_trac</t>
  </si>
  <si>
    <t>input_wage_rcoord</t>
  </si>
  <si>
    <t>input_staff_n_super</t>
  </si>
  <si>
    <t>Use Case Guidelines</t>
  </si>
  <si>
    <t>Guideance on how to use model to address specific needs</t>
  </si>
  <si>
    <t>Example Use Case Guidelines</t>
  </si>
  <si>
    <t xml:space="preserve">1. A manager needs to understand when to hire additional staff and when to relieve staff. </t>
  </si>
  <si>
    <t>Model(s)</t>
  </si>
  <si>
    <t>Key Inputs</t>
  </si>
  <si>
    <t>Call length variables</t>
  </si>
  <si>
    <t>Notes</t>
  </si>
  <si>
    <t xml:space="preserve">3. Manager wants to know how to adjust staff when new technology is used for notification and/or follow-up. </t>
  </si>
  <si>
    <t>4. A number of existing staff will be returning to full-time jobs – what are the impacts and adjustments that could be made?</t>
  </si>
  <si>
    <t>Individual inputs</t>
  </si>
  <si>
    <t>Total number of staff needed</t>
  </si>
  <si>
    <t>Staffing assumption inputs</t>
  </si>
  <si>
    <t>Tornado Setup</t>
  </si>
  <si>
    <t>Width</t>
  </si>
  <si>
    <t>option_DSA_tornado</t>
  </si>
  <si>
    <t>DSA_tornado_index</t>
  </si>
  <si>
    <t>DSA_tornado_select</t>
  </si>
  <si>
    <t>Count of nonzero values:</t>
  </si>
  <si>
    <t>Multivariate analyses</t>
  </si>
  <si>
    <t>Sensitivity input value</t>
  </si>
  <si>
    <t>Base-case number of cases</t>
  </si>
  <si>
    <t xml:space="preserve">Overall projected staffing requirements </t>
  </si>
  <si>
    <t>Projected case investigator need</t>
  </si>
  <si>
    <t>Projected contact tracer need</t>
  </si>
  <si>
    <t>Projected resource coordinator need</t>
  </si>
  <si>
    <t>Projected supervisor/manager need</t>
  </si>
  <si>
    <t>Case investigation capacity</t>
  </si>
  <si>
    <t>Dynamic</t>
  </si>
  <si>
    <t>Static sorted</t>
  </si>
  <si>
    <t>The range of variation may be changed by changed the default range of variation and re-running the sensitivity analyses.</t>
  </si>
  <si>
    <t>Current default range of variation:</t>
  </si>
  <si>
    <t>Click here to change the default range of variation</t>
  </si>
  <si>
    <t xml:space="preserve">The sensitivity table below demonstrates anticipated changes to staff based on increases or decreases to number of daily cases and contacts per case. </t>
  </si>
  <si>
    <t>Actual staff already opperating</t>
  </si>
  <si>
    <t>Staff utilization based on total current case load</t>
  </si>
  <si>
    <t>Staff utilization based on current case investigation capacity</t>
  </si>
  <si>
    <t>Staff required based on total current case load</t>
  </si>
  <si>
    <t>Productive hours per employee per week +/- 30%</t>
  </si>
  <si>
    <t>New cases per day +/- 30%</t>
  </si>
  <si>
    <t>Minutes spent on each case reached +/- 30%</t>
  </si>
  <si>
    <t>Proportion of cases reached +/- 30%</t>
  </si>
  <si>
    <t>Minutes spent on each case not reached +/- 30%</t>
  </si>
  <si>
    <t>Minutes spent on each follow-up text message +/- 30%</t>
  </si>
  <si>
    <t>Average number of contacts per case +/- 30%</t>
  </si>
  <si>
    <t>Proportion of contacts reached +/- 30%</t>
  </si>
  <si>
    <t>Minutes spent on each contact reached +/- 30%</t>
  </si>
  <si>
    <t>Number of follow-up calls +/- 30%</t>
  </si>
  <si>
    <t>Number of staff per supervisor/manager +/- 30%</t>
  </si>
  <si>
    <t>Number of follow-up text messages +/- 30%</t>
  </si>
  <si>
    <t>Minutes spent on each contact not reached +/- 30%</t>
  </si>
  <si>
    <t>Proportion of cases requesting coodinators +/- 30%</t>
  </si>
  <si>
    <t>Minutes spent on each follow-up call +/- 30%</t>
  </si>
  <si>
    <t>Hourly rate - case investigator +/- 30%</t>
  </si>
  <si>
    <t>Hourly rate - contact tracer +/- 30%</t>
  </si>
  <si>
    <t>Hourly rate - resource coordinator +/- 30%</t>
  </si>
  <si>
    <t>Hourly rate - supervisors/managers +/- 30%</t>
  </si>
  <si>
    <t>SENSITIVITY RESULTS - TORNADO DIAGRAM</t>
  </si>
  <si>
    <t>INSTRUCTIONS AND SETTINGS</t>
  </si>
  <si>
    <r>
      <t xml:space="preserve">Overview: </t>
    </r>
    <r>
      <rPr>
        <sz val="12"/>
        <rFont val="Myriad"/>
      </rPr>
      <t>The sensitivity analyses show the impact of changing individual input parameters on the model results.</t>
    </r>
  </si>
  <si>
    <t>Setting</t>
  </si>
  <si>
    <t>Run sensitivity analyses</t>
  </si>
  <si>
    <t>User input</t>
  </si>
  <si>
    <t>• The default range of variation determines the high and low input parameters to evaluate, based on a percentage of the base-  case value
• Sensitivity input parameter = Base-case input parameter +/- xx% * base-case input parameter
• Sensitivity analyses need to be re-run after changes to default range of variation</t>
  </si>
  <si>
    <t>• Sensitivity analyses can be re-run by pressing the button to the left
• The sensitivity analyses take about 15 seconds to re-run
• Sensitivity analyses need to be re-run in two instances:
          (1) Changes to default range of variation
          (2) Changes to any base-case input values</t>
  </si>
  <si>
    <t>The tornado diagram displays the input parameters that have the largest impact on the model results, ordered from largest impact on results to least impact on results</t>
  </si>
  <si>
    <t>2. Manager wants to figure out how many staff should be assigned to Case Investigation vs Contact Notification 
and Follow-Up.</t>
  </si>
  <si>
    <t>Assume productive hours on calls is equal to 70 - 80% of working hours</t>
  </si>
  <si>
    <t>Time estimates should include any call prep and after-call wrap-up work</t>
  </si>
  <si>
    <t>Instructions</t>
  </si>
  <si>
    <t>(1) Adjust Key Inputs in "Results and Inputs - Staff" to reflect current status</t>
  </si>
  <si>
    <t xml:space="preserve">(2) Review "SENSITIVITY RESULTS - BY NUMBER OF CASES AND CONTACTS" in "Sensitivity Analyses" tab to determine how many employees will be required as New Cases per Day and Average number of contacts per cases increases and decreases. </t>
  </si>
  <si>
    <t xml:space="preserve">(3) Review "SENSITIVITY RESULTS - INDIVIDUAL PARAMETERS" in "Sensitivity Analyses" tab to determine how number of productive hours per week and call length variables influence number of staff required. </t>
  </si>
  <si>
    <t xml:space="preserve">(2) Review "RESULTS" in "Results and Inputs" tab to determine how many Case Investigators and Contact Tracers will be required to keep up with current case load. </t>
  </si>
  <si>
    <t>(2) Review "RESULTS" in "Results and Inputs" tab to determine how many staff are required based on current split between number of follow-up calls and number of follow-up text messages</t>
  </si>
  <si>
    <t xml:space="preserve">(3) Review "SENSITIVITY RESULTS - INDIVIDUAL PARAMETERS" in "Sensitivity Analyses" tab to determine how shifting towards text message follow up and away from call follow-up impacts staffing requirements. </t>
  </si>
  <si>
    <t>(1) Adjust Key Inputs in "Results and Inputs - Cases" to reflect current status</t>
  </si>
  <si>
    <t xml:space="preserve">(2) Review "RESULTS" in "Results and Inputs" tab to determine capacity of current work force and how quickly a backlog will occur based on the current case load. </t>
  </si>
  <si>
    <t>Based on state with population of xx and density of xx/square mile</t>
  </si>
  <si>
    <t>Proportion of contacts requesting coodinators</t>
  </si>
  <si>
    <t>Number of cases per resource coodinator per day</t>
  </si>
  <si>
    <t>Bar charts: Staff needed, by number of cases and contacts per case</t>
  </si>
  <si>
    <t>input_rc_prop_contact</t>
  </si>
  <si>
    <t>input_rc_N_day</t>
  </si>
  <si>
    <t>Number of cases per resource coordinator per day  +/- 30%</t>
  </si>
  <si>
    <t>Proportion of contacts requesting coordinators +/- 30%</t>
  </si>
  <si>
    <t>Assume 5 work days per week</t>
  </si>
  <si>
    <t>Proportion of contacts requesting coordinators</t>
  </si>
  <si>
    <t>Proportion of cases requesting coordinators</t>
  </si>
  <si>
    <t>Assumes 5 day work week</t>
  </si>
  <si>
    <t>Actual number of cases and contacts</t>
  </si>
  <si>
    <t>Contact tracer capacity</t>
  </si>
  <si>
    <t xml:space="preserve">Backlog number of cases and contacts not investigated </t>
  </si>
  <si>
    <t>Maximum number of cases and contacts investigated based on staff capacity</t>
  </si>
  <si>
    <t>Maximum number of contacts investigated based on case investigation capacity</t>
  </si>
  <si>
    <t>Total overtime hours to investigate daily case and contact backlog in one day</t>
  </si>
  <si>
    <t>Total overtime hours to investigate daily case and contact backlog over three days</t>
  </si>
  <si>
    <t>Full utilization of staff based on case investigator capacity</t>
  </si>
  <si>
    <t>Difference between actual cases and maximum case capacity</t>
  </si>
  <si>
    <t>Backlog number of contacts not investigated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</si>
</sst>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6" formatCode="&quot;$&quot;#,##0_);[Red]\(&quot;$&quot;#,##0\)"/>
    <numFmt numFmtId="44" formatCode="_(&quot;$&quot;* #,##0.00_);_(&quot;$&quot;* \(#,##0.00\);_(&quot;$&quot;* &quot;-&quot;??_);_(@_)"/>
    <numFmt numFmtId="43" formatCode="_(* #,##0.00_);_(* \(#,##0.00\);_(* &quot;-&quot;??_);_(@_)"/>
    <numFmt numFmtId="164" formatCode="0&quot; daily new cases&quot;"/>
    <numFmt numFmtId="165" formatCode="0.0&quot; contacts per case&quot;"/>
    <numFmt numFmtId="166" formatCode="&quot;$&quot;#,##0"/>
    <numFmt numFmtId="167" formatCode="0.0"/>
    <numFmt numFmtId="168" formatCode="#,##0.0"/>
    <numFmt numFmtId="169" formatCode="&quot;$&quot;#,##0.00"/>
    <numFmt numFmtId="170" formatCode="#,##0.000_);\(#,##0.000\)"/>
    <numFmt numFmtId="171" formatCode="_(* #,##0_);_(* \(#,##0\);_(* &quot;-&quot;??_);_(@_)"/>
  </numFmts>
  <fonts count="56">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Myriad"/>
    </font>
    <font>
      <b/>
      <sz val="16"/>
      <color theme="1"/>
      <name val="Myriad"/>
    </font>
    <font>
      <b/>
      <sz val="11"/>
      <color theme="1"/>
      <name val="Myriad"/>
    </font>
    <font>
      <b/>
      <sz val="11"/>
      <color theme="0"/>
      <name val="Myriad"/>
    </font>
    <font>
      <sz val="12"/>
      <color rgb="FF002060"/>
      <name val="Myriad"/>
    </font>
    <font>
      <b/>
      <sz val="12"/>
      <color theme="0"/>
      <name val="Myriad"/>
    </font>
    <font>
      <sz val="11"/>
      <color rgb="FF002060"/>
      <name val="Myriad"/>
    </font>
    <font>
      <i/>
      <sz val="16"/>
      <color theme="1"/>
      <name val="Myriad"/>
    </font>
    <font>
      <sz val="12"/>
      <color theme="1"/>
      <name val="Myriad"/>
    </font>
    <font>
      <b/>
      <sz val="9"/>
      <color indexed="81"/>
      <name val="Tahoma"/>
      <family val="2"/>
    </font>
    <font>
      <sz val="9"/>
      <color indexed="81"/>
      <name val="Tahoma"/>
      <family val="2"/>
    </font>
    <font>
      <sz val="11"/>
      <color theme="0"/>
      <name val="Calibri"/>
      <family val="2"/>
      <scheme val="minor"/>
    </font>
    <font>
      <b/>
      <sz val="12"/>
      <color theme="1"/>
      <name val="Calibri"/>
      <family val="2"/>
      <scheme val="minor"/>
    </font>
    <font>
      <sz val="12"/>
      <color theme="4"/>
      <name val="Myriad"/>
    </font>
    <font>
      <sz val="12"/>
      <color theme="4"/>
      <name val="Calibri"/>
      <family val="2"/>
      <scheme val="minor"/>
    </font>
    <font>
      <sz val="12"/>
      <color theme="1"/>
      <name val="Calibri"/>
      <family val="2"/>
      <scheme val="minor"/>
    </font>
    <font>
      <b/>
      <sz val="20"/>
      <color theme="1"/>
      <name val="Myriad"/>
    </font>
    <font>
      <b/>
      <sz val="14"/>
      <color theme="0"/>
      <name val="Myriad"/>
    </font>
    <font>
      <b/>
      <sz val="12"/>
      <color theme="1"/>
      <name val="Myriad"/>
    </font>
    <font>
      <b/>
      <sz val="12"/>
      <name val="Myriad"/>
    </font>
    <font>
      <sz val="12"/>
      <name val="Myriad"/>
    </font>
    <font>
      <u/>
      <sz val="12"/>
      <color theme="11"/>
      <name val="Calibri"/>
      <family val="2"/>
      <scheme val="minor"/>
    </font>
    <font>
      <sz val="8"/>
      <color theme="2" tint="-9.9978637043366805E-2"/>
      <name val="Myriad"/>
    </font>
    <font>
      <i/>
      <sz val="9"/>
      <color theme="1"/>
      <name val="Myriad"/>
    </font>
    <font>
      <u/>
      <sz val="12"/>
      <color theme="10"/>
      <name val="Calibri"/>
      <family val="2"/>
      <scheme val="minor"/>
    </font>
    <font>
      <i/>
      <u/>
      <sz val="11"/>
      <color theme="10"/>
      <name val="Myriad"/>
    </font>
    <font>
      <b/>
      <u/>
      <sz val="12"/>
      <color theme="1"/>
      <name val="Myriad"/>
    </font>
    <font>
      <sz val="9"/>
      <color theme="1"/>
      <name val="Myriad"/>
    </font>
    <font>
      <b/>
      <sz val="12"/>
      <color rgb="FF000000"/>
      <name val="Calibri"/>
      <family val="2"/>
    </font>
    <font>
      <b/>
      <sz val="11"/>
      <color rgb="FFFFFFFF"/>
      <name val="Myriad"/>
    </font>
    <font>
      <b/>
      <sz val="16"/>
      <color rgb="FFFFFFFF"/>
      <name val="Myriad"/>
    </font>
    <font>
      <sz val="11"/>
      <name val="Myriad"/>
    </font>
    <font>
      <i/>
      <sz val="12"/>
      <name val="Myriad"/>
    </font>
    <font>
      <b/>
      <sz val="12"/>
      <color rgb="FFFF0000"/>
      <name val="Myriad"/>
    </font>
    <font>
      <sz val="11"/>
      <color rgb="FFFF0000"/>
      <name val="Myriad"/>
    </font>
    <font>
      <b/>
      <sz val="11"/>
      <name val="Myriad"/>
    </font>
    <font>
      <b/>
      <u/>
      <sz val="14"/>
      <color rgb="FFC00000"/>
      <name val="Myriad"/>
    </font>
    <font>
      <b/>
      <u/>
      <sz val="14"/>
      <name val="Myriad"/>
    </font>
    <font>
      <sz val="11"/>
      <color rgb="FFFFFFFF"/>
      <name val="Myriad"/>
    </font>
    <font>
      <b/>
      <sz val="22"/>
      <name val="Myriad"/>
    </font>
    <font>
      <sz val="12"/>
      <name val="Times New Roman"/>
      <family val="1"/>
    </font>
    <font>
      <b/>
      <i/>
      <sz val="12"/>
      <color theme="1"/>
      <name val="Myriad"/>
    </font>
    <font>
      <i/>
      <sz val="12"/>
      <color theme="1"/>
      <name val="Myriad"/>
    </font>
    <font>
      <i/>
      <u/>
      <sz val="12"/>
      <color theme="10"/>
      <name val="Calibri"/>
      <family val="2"/>
      <scheme val="minor"/>
    </font>
    <font>
      <sz val="11"/>
      <color theme="0"/>
      <name val="Myriad"/>
    </font>
    <font>
      <b/>
      <sz val="10"/>
      <color rgb="FFFFFFFF"/>
      <name val="Myriad"/>
    </font>
    <font>
      <sz val="10"/>
      <color rgb="FF002060"/>
      <name val="Myriad"/>
    </font>
    <font>
      <sz val="10"/>
      <color theme="1"/>
      <name val="Myriad"/>
    </font>
  </fonts>
  <fills count="22">
    <fill>
      <patternFill patternType="none"/>
    </fill>
    <fill>
      <patternFill patternType="gray125"/>
    </fill>
    <fill>
      <patternFill patternType="solid">
        <fgColor rgb="FF323372"/>
        <bgColor indexed="64"/>
      </patternFill>
    </fill>
    <fill>
      <patternFill patternType="solid">
        <fgColor rgb="FFF6BE00"/>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2"/>
        <bgColor indexed="64"/>
      </patternFill>
    </fill>
    <fill>
      <patternFill patternType="solid">
        <fgColor theme="9"/>
        <bgColor indexed="64"/>
      </patternFill>
    </fill>
    <fill>
      <patternFill patternType="solid">
        <fgColor rgb="FF16B6BA"/>
        <bgColor indexed="64"/>
      </patternFill>
    </fill>
    <fill>
      <patternFill patternType="solid">
        <fgColor rgb="FF99CCFF"/>
        <bgColor indexed="64"/>
      </patternFill>
    </fill>
    <fill>
      <patternFill patternType="solid">
        <fgColor theme="2"/>
        <bgColor rgb="FF000000"/>
      </patternFill>
    </fill>
    <fill>
      <patternFill patternType="solid">
        <fgColor theme="8" tint="0.59999389629810485"/>
        <bgColor indexed="64"/>
      </patternFill>
    </fill>
    <fill>
      <patternFill patternType="solid">
        <fgColor rgb="FF9999FF"/>
        <bgColor indexed="64"/>
      </patternFill>
    </fill>
    <fill>
      <patternFill patternType="solid">
        <fgColor rgb="FFC00000"/>
        <bgColor indexed="64"/>
      </patternFill>
    </fill>
    <fill>
      <patternFill patternType="solid">
        <fgColor rgb="FFFFC000"/>
        <bgColor indexed="64"/>
      </patternFill>
    </fill>
    <fill>
      <patternFill patternType="solid">
        <fgColor rgb="FFD0CECE"/>
        <bgColor indexed="64"/>
      </patternFill>
    </fill>
    <fill>
      <patternFill patternType="solid">
        <fgColor theme="2" tint="-9.9978637043366805E-2"/>
        <bgColor indexed="64"/>
      </patternFill>
    </fill>
    <fill>
      <patternFill patternType="solid">
        <fgColor rgb="FFFFF7D3"/>
        <bgColor indexed="64"/>
      </patternFill>
    </fill>
    <fill>
      <patternFill patternType="solid">
        <fgColor rgb="FFFFFFCC"/>
        <bgColor rgb="FF000000"/>
      </patternFill>
    </fill>
    <fill>
      <patternFill patternType="solid">
        <fgColor rgb="FFFF0000"/>
        <bgColor indexed="64"/>
      </patternFill>
    </fill>
    <fill>
      <patternFill patternType="solid">
        <fgColor theme="0" tint="-0.249977111117893"/>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style="hair">
        <color auto="1"/>
      </left>
      <right style="hair">
        <color auto="1"/>
      </right>
      <top style="hair">
        <color auto="1"/>
      </top>
      <bottom style="hair">
        <color auto="1"/>
      </bottom>
      <diagonal/>
    </border>
    <border>
      <left style="medium">
        <color indexed="64"/>
      </left>
      <right/>
      <top style="thin">
        <color indexed="64"/>
      </top>
      <bottom style="thin">
        <color indexed="64"/>
      </bottom>
      <diagonal/>
    </border>
    <border>
      <left/>
      <right/>
      <top/>
      <bottom style="hair">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auto="1"/>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medium">
        <color indexed="64"/>
      </top>
      <bottom style="thin">
        <color auto="1"/>
      </bottom>
      <diagonal/>
    </border>
    <border>
      <left style="thin">
        <color auto="1"/>
      </left>
      <right/>
      <top/>
      <bottom/>
      <diagonal/>
    </border>
    <border>
      <left style="thin">
        <color theme="0"/>
      </left>
      <right/>
      <top/>
      <bottom/>
      <diagonal/>
    </border>
    <border>
      <left/>
      <right/>
      <top/>
      <bottom style="thin">
        <color theme="0"/>
      </bottom>
      <diagonal/>
    </border>
    <border>
      <left/>
      <right style="thin">
        <color theme="0"/>
      </right>
      <top/>
      <bottom/>
      <diagonal/>
    </border>
  </borders>
  <cellStyleXfs count="31">
    <xf numFmtId="0" fontId="0"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19" fillId="6" borderId="0" applyNumberFormat="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23" fillId="0" borderId="0" applyFont="0" applyFill="0" applyBorder="0" applyAlignment="0" applyProtection="0"/>
    <xf numFmtId="0" fontId="5" fillId="0" borderId="0"/>
    <xf numFmtId="43" fontId="5"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2" fillId="0" borderId="0" applyNumberFormat="0" applyFill="0" applyBorder="0" applyAlignment="0" applyProtection="0"/>
    <xf numFmtId="0" fontId="4" fillId="0" borderId="0"/>
    <xf numFmtId="9" fontId="4" fillId="0" borderId="0" applyFont="0" applyFill="0" applyBorder="0" applyAlignment="0" applyProtection="0"/>
    <xf numFmtId="44" fontId="23"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23" fillId="0" borderId="0" applyFont="0" applyFill="0" applyBorder="0" applyAlignment="0" applyProtection="0"/>
  </cellStyleXfs>
  <cellXfs count="364">
    <xf numFmtId="0" fontId="0" fillId="0" borderId="0" xfId="0"/>
    <xf numFmtId="0" fontId="8" fillId="2" borderId="0" xfId="1" applyFont="1" applyFill="1"/>
    <xf numFmtId="0" fontId="8" fillId="0" borderId="0" xfId="1" applyFont="1"/>
    <xf numFmtId="0" fontId="8" fillId="0" borderId="0" xfId="1" applyFont="1" applyBorder="1"/>
    <xf numFmtId="0" fontId="8" fillId="2" borderId="0" xfId="1" applyFont="1" applyFill="1" applyBorder="1"/>
    <xf numFmtId="0" fontId="14" fillId="2" borderId="0" xfId="1" applyFont="1" applyFill="1" applyBorder="1"/>
    <xf numFmtId="0" fontId="14" fillId="4" borderId="0" xfId="1" applyFont="1" applyFill="1" applyBorder="1"/>
    <xf numFmtId="0" fontId="8" fillId="4" borderId="0" xfId="1" applyFont="1" applyFill="1" applyBorder="1"/>
    <xf numFmtId="0" fontId="11" fillId="4" borderId="0" xfId="1" applyFont="1" applyFill="1" applyBorder="1" applyAlignment="1">
      <alignment horizontal="center" vertical="center"/>
    </xf>
    <xf numFmtId="0" fontId="16" fillId="0" borderId="0" xfId="0" applyFont="1"/>
    <xf numFmtId="0" fontId="20" fillId="0" borderId="0" xfId="0" applyFont="1"/>
    <xf numFmtId="0" fontId="21" fillId="0" borderId="0" xfId="0" applyFont="1"/>
    <xf numFmtId="0" fontId="22" fillId="0" borderId="0" xfId="0" applyFont="1"/>
    <xf numFmtId="0" fontId="8" fillId="0" borderId="0" xfId="1" applyFont="1" applyBorder="1" applyAlignment="1">
      <alignment wrapText="1"/>
    </xf>
    <xf numFmtId="0" fontId="13" fillId="4" borderId="0" xfId="1" applyFont="1" applyFill="1" applyBorder="1" applyAlignment="1">
      <alignment horizontal="center" vertical="center"/>
    </xf>
    <xf numFmtId="0" fontId="27" fillId="7" borderId="0" xfId="1" applyFont="1" applyFill="1" applyBorder="1" applyAlignment="1">
      <alignment horizontal="left" wrapText="1"/>
    </xf>
    <xf numFmtId="0" fontId="28" fillId="4" borderId="0" xfId="1" applyFont="1" applyFill="1" applyBorder="1"/>
    <xf numFmtId="0" fontId="27" fillId="0" borderId="0" xfId="1" applyFont="1" applyBorder="1" applyAlignment="1">
      <alignment horizontal="left" indent="1"/>
    </xf>
    <xf numFmtId="0" fontId="12" fillId="4" borderId="0" xfId="1" applyFont="1" applyFill="1" applyBorder="1" applyAlignment="1">
      <alignment horizontal="center"/>
    </xf>
    <xf numFmtId="0" fontId="12" fillId="4" borderId="0" xfId="1" quotePrefix="1" applyFont="1" applyFill="1" applyBorder="1" applyAlignment="1">
      <alignment horizontal="center"/>
    </xf>
    <xf numFmtId="1" fontId="13" fillId="2" borderId="0" xfId="2" applyNumberFormat="1" applyFont="1" applyFill="1" applyBorder="1" applyAlignment="1">
      <alignment horizontal="center" wrapText="1"/>
    </xf>
    <xf numFmtId="1" fontId="27" fillId="0" borderId="0" xfId="1" applyNumberFormat="1" applyFont="1" applyFill="1" applyBorder="1" applyAlignment="1" applyProtection="1">
      <alignment horizontal="center"/>
      <protection locked="0"/>
    </xf>
    <xf numFmtId="9" fontId="27" fillId="0" borderId="0" xfId="8" applyFont="1" applyFill="1" applyBorder="1" applyAlignment="1" applyProtection="1">
      <alignment horizontal="center"/>
      <protection locked="0"/>
    </xf>
    <xf numFmtId="0" fontId="27" fillId="0" borderId="0" xfId="1" applyFont="1" applyFill="1" applyBorder="1" applyAlignment="1">
      <alignment horizontal="left" wrapText="1"/>
    </xf>
    <xf numFmtId="0" fontId="28" fillId="0" borderId="0" xfId="1" applyFont="1" applyFill="1" applyBorder="1"/>
    <xf numFmtId="0" fontId="27" fillId="0" borderId="0" xfId="1" applyFont="1" applyFill="1" applyBorder="1" applyAlignment="1">
      <alignment horizontal="left" indent="1"/>
    </xf>
    <xf numFmtId="0" fontId="30" fillId="0" borderId="0" xfId="1" applyFont="1"/>
    <xf numFmtId="3" fontId="27" fillId="9" borderId="4" xfId="1" applyNumberFormat="1" applyFont="1" applyFill="1" applyBorder="1" applyAlignment="1">
      <alignment horizontal="center"/>
    </xf>
    <xf numFmtId="3" fontId="27" fillId="0" borderId="0" xfId="1" applyNumberFormat="1" applyFont="1" applyBorder="1" applyAlignment="1">
      <alignment horizontal="left" indent="1"/>
    </xf>
    <xf numFmtId="3" fontId="27" fillId="0" borderId="0" xfId="1" applyNumberFormat="1" applyFont="1" applyFill="1" applyBorder="1" applyAlignment="1" applyProtection="1">
      <alignment horizontal="center"/>
      <protection locked="0"/>
    </xf>
    <xf numFmtId="0" fontId="12" fillId="4" borderId="3" xfId="1" quotePrefix="1" applyFont="1" applyFill="1" applyBorder="1" applyAlignment="1">
      <alignment horizontal="center"/>
    </xf>
    <xf numFmtId="0" fontId="12" fillId="4" borderId="3" xfId="1" applyFont="1" applyFill="1" applyBorder="1" applyAlignment="1">
      <alignment horizontal="center"/>
    </xf>
    <xf numFmtId="1" fontId="13" fillId="2" borderId="3" xfId="2" applyNumberFormat="1" applyFont="1" applyFill="1" applyBorder="1" applyAlignment="1">
      <alignment horizontal="center" wrapText="1"/>
    </xf>
    <xf numFmtId="0" fontId="14" fillId="4" borderId="3" xfId="1" applyFont="1" applyFill="1" applyBorder="1"/>
    <xf numFmtId="1" fontId="33" fillId="0" borderId="0" xfId="19" applyNumberFormat="1" applyFont="1" applyFill="1" applyBorder="1" applyAlignment="1" applyProtection="1">
      <alignment horizontal="center"/>
      <protection locked="0"/>
    </xf>
    <xf numFmtId="0" fontId="8" fillId="0" borderId="0" xfId="1" applyFont="1" applyBorder="1"/>
    <xf numFmtId="0" fontId="11" fillId="2" borderId="0" xfId="1" applyFont="1" applyFill="1" applyBorder="1" applyAlignment="1">
      <alignment horizontal="center" vertical="center"/>
    </xf>
    <xf numFmtId="0" fontId="24" fillId="4" borderId="0" xfId="1" applyFont="1" applyFill="1" applyBorder="1" applyAlignment="1">
      <alignment horizontal="center" vertical="center"/>
    </xf>
    <xf numFmtId="0" fontId="25" fillId="2" borderId="0" xfId="1" applyFont="1" applyFill="1" applyBorder="1" applyAlignment="1">
      <alignment horizontal="center" vertical="center"/>
    </xf>
    <xf numFmtId="9" fontId="27" fillId="4" borderId="0" xfId="8" applyFont="1" applyFill="1" applyBorder="1" applyAlignment="1" applyProtection="1">
      <alignment horizontal="center"/>
      <protection locked="0"/>
    </xf>
    <xf numFmtId="0" fontId="27" fillId="4" borderId="0" xfId="1" applyFont="1" applyFill="1" applyBorder="1" applyAlignment="1">
      <alignment horizontal="left" vertical="top"/>
    </xf>
    <xf numFmtId="0" fontId="25" fillId="4" borderId="0" xfId="1" applyFont="1" applyFill="1" applyBorder="1" applyAlignment="1">
      <alignment horizontal="center" vertical="center"/>
    </xf>
    <xf numFmtId="0" fontId="26" fillId="4" borderId="0" xfId="1" applyFont="1" applyFill="1" applyBorder="1" applyAlignment="1">
      <alignment horizontal="left" vertical="center" indent="1"/>
    </xf>
    <xf numFmtId="0" fontId="27" fillId="5" borderId="0" xfId="1" applyFont="1" applyFill="1" applyBorder="1" applyAlignment="1">
      <alignment horizontal="left" vertical="top"/>
    </xf>
    <xf numFmtId="0" fontId="27" fillId="4" borderId="0" xfId="1" applyFont="1" applyFill="1" applyBorder="1" applyAlignment="1">
      <alignment horizontal="center" vertical="center"/>
    </xf>
    <xf numFmtId="0" fontId="0" fillId="0" borderId="0" xfId="0" applyBorder="1"/>
    <xf numFmtId="9" fontId="27" fillId="10" borderId="4" xfId="8" applyFont="1" applyFill="1" applyBorder="1" applyAlignment="1" applyProtection="1">
      <alignment horizontal="center"/>
      <protection locked="0"/>
    </xf>
    <xf numFmtId="9" fontId="28" fillId="3" borderId="4" xfId="8" applyFont="1" applyFill="1" applyBorder="1" applyAlignment="1" applyProtection="1">
      <alignment horizontal="center"/>
      <protection locked="0"/>
    </xf>
    <xf numFmtId="9" fontId="28" fillId="4" borderId="4" xfId="8" applyFont="1" applyFill="1" applyBorder="1" applyAlignment="1" applyProtection="1">
      <alignment horizontal="center"/>
      <protection locked="0"/>
    </xf>
    <xf numFmtId="1" fontId="28" fillId="3" borderId="4" xfId="8" applyNumberFormat="1" applyFont="1" applyFill="1" applyBorder="1" applyAlignment="1" applyProtection="1">
      <alignment horizontal="center"/>
      <protection locked="0"/>
    </xf>
    <xf numFmtId="6" fontId="28" fillId="3" borderId="4" xfId="8" applyNumberFormat="1" applyFont="1" applyFill="1" applyBorder="1" applyAlignment="1" applyProtection="1">
      <alignment horizontal="center"/>
      <protection locked="0"/>
    </xf>
    <xf numFmtId="9" fontId="27" fillId="4" borderId="0" xfId="8" applyFont="1" applyFill="1" applyBorder="1" applyAlignment="1" applyProtection="1">
      <protection locked="0"/>
    </xf>
    <xf numFmtId="44" fontId="27" fillId="9" borderId="4" xfId="22" applyFont="1" applyFill="1" applyBorder="1" applyAlignment="1">
      <alignment horizontal="center"/>
    </xf>
    <xf numFmtId="0" fontId="8" fillId="0" borderId="0" xfId="1" applyFont="1" applyBorder="1"/>
    <xf numFmtId="0" fontId="11" fillId="2" borderId="0" xfId="1" applyFont="1" applyFill="1" applyBorder="1" applyAlignment="1">
      <alignment horizontal="center" vertical="center"/>
    </xf>
    <xf numFmtId="3" fontId="27" fillId="9" borderId="1" xfId="1" applyNumberFormat="1" applyFont="1" applyFill="1" applyBorder="1" applyAlignment="1">
      <alignment horizontal="center"/>
    </xf>
    <xf numFmtId="0" fontId="37" fillId="4" borderId="0" xfId="20" applyFont="1" applyFill="1" applyAlignment="1">
      <alignment vertical="center"/>
    </xf>
    <xf numFmtId="0" fontId="38" fillId="4" borderId="0" xfId="20" applyFont="1" applyFill="1" applyBorder="1" applyAlignment="1">
      <alignment vertical="center"/>
    </xf>
    <xf numFmtId="0" fontId="38" fillId="4" borderId="0" xfId="20" applyFont="1" applyFill="1" applyAlignment="1">
      <alignment vertical="center"/>
    </xf>
    <xf numFmtId="0" fontId="8" fillId="0" borderId="0" xfId="20" applyFont="1" applyBorder="1"/>
    <xf numFmtId="0" fontId="8" fillId="0" borderId="0" xfId="20" applyFont="1" applyAlignment="1">
      <alignment vertical="center"/>
    </xf>
    <xf numFmtId="0" fontId="39" fillId="0" borderId="0" xfId="20" applyFont="1" applyFill="1" applyBorder="1"/>
    <xf numFmtId="0" fontId="39" fillId="0" borderId="0" xfId="20" quotePrefix="1" applyFont="1" applyBorder="1" applyAlignment="1">
      <alignment horizontal="right" vertical="top"/>
    </xf>
    <xf numFmtId="0" fontId="39" fillId="0" borderId="0" xfId="20" applyFont="1" applyBorder="1" applyAlignment="1">
      <alignment vertical="center"/>
    </xf>
    <xf numFmtId="0" fontId="27" fillId="0" borderId="6" xfId="20" applyFont="1" applyBorder="1" applyAlignment="1">
      <alignment horizontal="left" wrapText="1"/>
    </xf>
    <xf numFmtId="0" fontId="41" fillId="0" borderId="0" xfId="20" applyFont="1" applyBorder="1" applyAlignment="1">
      <alignment horizontal="left" wrapText="1"/>
    </xf>
    <xf numFmtId="0" fontId="42" fillId="0" borderId="0" xfId="20" applyFont="1" applyBorder="1"/>
    <xf numFmtId="0" fontId="27" fillId="0" borderId="6" xfId="20" applyFont="1" applyBorder="1" applyAlignment="1">
      <alignment wrapText="1"/>
    </xf>
    <xf numFmtId="0" fontId="16" fillId="10" borderId="1" xfId="20" applyFont="1" applyFill="1" applyBorder="1" applyAlignment="1">
      <alignment horizontal="center" vertical="center"/>
    </xf>
    <xf numFmtId="9" fontId="16" fillId="10" borderId="1" xfId="21" applyFont="1" applyFill="1" applyBorder="1" applyAlignment="1">
      <alignment horizontal="center" vertical="center"/>
    </xf>
    <xf numFmtId="0" fontId="40" fillId="0" borderId="0" xfId="20" applyFont="1" applyBorder="1" applyAlignment="1">
      <alignment horizontal="left" vertical="top" wrapText="1"/>
    </xf>
    <xf numFmtId="0" fontId="44" fillId="0" borderId="0" xfId="20" applyFont="1" applyBorder="1" applyAlignment="1">
      <alignment vertical="center"/>
    </xf>
    <xf numFmtId="0" fontId="43" fillId="0" borderId="0" xfId="20" quotePrefix="1" applyFont="1" applyBorder="1" applyAlignment="1">
      <alignment horizontal="left"/>
    </xf>
    <xf numFmtId="0" fontId="8" fillId="0" borderId="0" xfId="20" applyFont="1"/>
    <xf numFmtId="0" fontId="27" fillId="7" borderId="1" xfId="20" applyFont="1" applyFill="1" applyBorder="1" applyAlignment="1">
      <alignment horizontal="center" vertical="center" wrapText="1"/>
    </xf>
    <xf numFmtId="0" fontId="27" fillId="11" borderId="1" xfId="20" applyFont="1" applyFill="1" applyBorder="1" applyAlignment="1">
      <alignment horizontal="left"/>
    </xf>
    <xf numFmtId="0" fontId="27" fillId="11" borderId="1" xfId="20" quotePrefix="1" applyFont="1" applyFill="1" applyBorder="1" applyAlignment="1">
      <alignment horizontal="left"/>
    </xf>
    <xf numFmtId="3" fontId="28" fillId="11" borderId="1" xfId="20" applyNumberFormat="1" applyFont="1" applyFill="1" applyBorder="1" applyAlignment="1">
      <alignment horizontal="left" indent="2"/>
    </xf>
    <xf numFmtId="0" fontId="39" fillId="0" borderId="0" xfId="20" quotePrefix="1" applyFont="1" applyBorder="1" applyAlignment="1">
      <alignment vertical="center"/>
    </xf>
    <xf numFmtId="0" fontId="39" fillId="0" borderId="0" xfId="20" applyFont="1" applyBorder="1" applyAlignment="1">
      <alignment horizontal="right" vertical="center"/>
    </xf>
    <xf numFmtId="3" fontId="39" fillId="0" borderId="0" xfId="20" applyNumberFormat="1" applyFont="1" applyBorder="1" applyAlignment="1">
      <alignment vertical="center"/>
    </xf>
    <xf numFmtId="0" fontId="16" fillId="13" borderId="1" xfId="0" applyFont="1" applyFill="1" applyBorder="1"/>
    <xf numFmtId="0" fontId="45" fillId="0" borderId="0" xfId="20" applyFont="1" applyBorder="1" applyAlignment="1">
      <alignment vertical="center"/>
    </xf>
    <xf numFmtId="0" fontId="8" fillId="0" borderId="0" xfId="1" applyFont="1" applyBorder="1"/>
    <xf numFmtId="9" fontId="27" fillId="4" borderId="0" xfId="8" applyFont="1" applyFill="1" applyBorder="1" applyAlignment="1" applyProtection="1">
      <alignment horizontal="center"/>
      <protection locked="0"/>
    </xf>
    <xf numFmtId="0" fontId="37" fillId="14" borderId="0" xfId="23" applyFont="1" applyFill="1" applyAlignment="1">
      <alignment vertical="center"/>
    </xf>
    <xf numFmtId="0" fontId="38" fillId="14" borderId="0" xfId="23" applyFont="1" applyFill="1" applyAlignment="1">
      <alignment vertical="center"/>
    </xf>
    <xf numFmtId="0" fontId="38" fillId="14" borderId="0" xfId="23" applyFont="1" applyFill="1" applyAlignment="1">
      <alignment vertical="center" wrapText="1"/>
    </xf>
    <xf numFmtId="0" fontId="46" fillId="14" borderId="0" xfId="23" applyFont="1" applyFill="1"/>
    <xf numFmtId="0" fontId="46" fillId="14" borderId="0" xfId="23" applyFont="1" applyFill="1" applyAlignment="1">
      <alignment vertical="center"/>
    </xf>
    <xf numFmtId="0" fontId="39" fillId="0" borderId="0" xfId="23" applyFont="1"/>
    <xf numFmtId="0" fontId="43" fillId="0" borderId="0" xfId="23" applyFont="1"/>
    <xf numFmtId="0" fontId="39" fillId="0" borderId="0" xfId="23" applyFont="1" applyAlignment="1">
      <alignment horizontal="center"/>
    </xf>
    <xf numFmtId="0" fontId="47" fillId="0" borderId="0" xfId="23" applyFont="1"/>
    <xf numFmtId="9" fontId="39" fillId="0" borderId="0" xfId="23" applyNumberFormat="1" applyFont="1" applyAlignment="1">
      <alignment horizontal="center"/>
    </xf>
    <xf numFmtId="0" fontId="8" fillId="0" borderId="0" xfId="23" applyFont="1"/>
    <xf numFmtId="3" fontId="16" fillId="17" borderId="1" xfId="23" applyNumberFormat="1" applyFont="1" applyFill="1" applyBorder="1" applyAlignment="1">
      <alignment horizontal="left" wrapText="1"/>
    </xf>
    <xf numFmtId="0" fontId="26" fillId="18" borderId="1" xfId="23" applyFont="1" applyFill="1" applyBorder="1" applyAlignment="1">
      <alignment horizontal="center" vertical="center"/>
    </xf>
    <xf numFmtId="167" fontId="37" fillId="18" borderId="2" xfId="23" applyNumberFormat="1" applyFont="1" applyFill="1" applyBorder="1" applyAlignment="1">
      <alignment horizontal="center" vertical="center"/>
    </xf>
    <xf numFmtId="167" fontId="43" fillId="18" borderId="2" xfId="23" applyNumberFormat="1" applyFont="1" applyFill="1" applyBorder="1" applyAlignment="1">
      <alignment horizontal="center" vertical="center"/>
    </xf>
    <xf numFmtId="166" fontId="43" fillId="18" borderId="2" xfId="23" applyNumberFormat="1" applyFont="1" applyFill="1" applyBorder="1" applyAlignment="1">
      <alignment horizontal="center" vertical="center"/>
    </xf>
    <xf numFmtId="2" fontId="43" fillId="16" borderId="1" xfId="23" applyNumberFormat="1" applyFont="1" applyFill="1" applyBorder="1" applyAlignment="1">
      <alignment horizontal="left"/>
    </xf>
    <xf numFmtId="2" fontId="8" fillId="15" borderId="1" xfId="23" applyNumberFormat="1" applyFont="1" applyFill="1" applyBorder="1" applyAlignment="1">
      <alignment horizontal="center" vertical="center"/>
    </xf>
    <xf numFmtId="0" fontId="43" fillId="15" borderId="1" xfId="23" applyFont="1" applyFill="1" applyBorder="1" applyAlignment="1">
      <alignment horizontal="left"/>
    </xf>
    <xf numFmtId="0" fontId="42" fillId="16" borderId="1" xfId="23" applyFont="1" applyFill="1" applyBorder="1" applyAlignment="1">
      <alignment horizontal="center"/>
    </xf>
    <xf numFmtId="2" fontId="39" fillId="16" borderId="1" xfId="23" applyNumberFormat="1" applyFont="1" applyFill="1" applyBorder="1" applyAlignment="1">
      <alignment horizontal="center"/>
    </xf>
    <xf numFmtId="167" fontId="39" fillId="15" borderId="1" xfId="23" applyNumberFormat="1" applyFont="1" applyFill="1" applyBorder="1" applyAlignment="1">
      <alignment horizontal="center"/>
    </xf>
    <xf numFmtId="166" fontId="39" fillId="15" borderId="1" xfId="23" applyNumberFormat="1" applyFont="1" applyFill="1" applyBorder="1" applyAlignment="1">
      <alignment horizontal="center"/>
    </xf>
    <xf numFmtId="167" fontId="39" fillId="16" borderId="1" xfId="23" applyNumberFormat="1" applyFont="1" applyFill="1" applyBorder="1" applyAlignment="1">
      <alignment horizontal="center"/>
    </xf>
    <xf numFmtId="167" fontId="42" fillId="16" borderId="1" xfId="23" applyNumberFormat="1" applyFont="1" applyFill="1" applyBorder="1" applyAlignment="1">
      <alignment horizontal="center"/>
    </xf>
    <xf numFmtId="0" fontId="27" fillId="7" borderId="1" xfId="20" applyFont="1" applyFill="1" applyBorder="1" applyAlignment="1">
      <alignment horizontal="center" vertical="center" wrapText="1"/>
    </xf>
    <xf numFmtId="0" fontId="30" fillId="0" borderId="0" xfId="25" applyFont="1"/>
    <xf numFmtId="0" fontId="8" fillId="0" borderId="0" xfId="25" applyFont="1"/>
    <xf numFmtId="0" fontId="8" fillId="2" borderId="0" xfId="25" applyFont="1" applyFill="1"/>
    <xf numFmtId="0" fontId="8" fillId="2" borderId="0" xfId="25" applyFont="1" applyFill="1" applyBorder="1"/>
    <xf numFmtId="0" fontId="8" fillId="0" borderId="0" xfId="25" applyFont="1" applyBorder="1"/>
    <xf numFmtId="0" fontId="10" fillId="0" borderId="0" xfId="25" applyFont="1" applyBorder="1"/>
    <xf numFmtId="0" fontId="10" fillId="0" borderId="0" xfId="25" applyFont="1" applyBorder="1" applyAlignment="1">
      <alignment horizontal="left" vertical="top" wrapText="1"/>
    </xf>
    <xf numFmtId="0" fontId="8" fillId="4" borderId="0" xfId="25" applyFont="1" applyFill="1" applyBorder="1" applyAlignment="1">
      <alignment wrapText="1"/>
    </xf>
    <xf numFmtId="0" fontId="8" fillId="4" borderId="0" xfId="25" applyFont="1" applyFill="1" applyBorder="1" applyAlignment="1">
      <alignment vertical="top" wrapText="1"/>
    </xf>
    <xf numFmtId="0" fontId="10" fillId="0" borderId="0" xfId="25" applyFont="1" applyBorder="1" applyAlignment="1">
      <alignment wrapText="1"/>
    </xf>
    <xf numFmtId="0" fontId="10" fillId="0" borderId="1" xfId="25" applyFont="1" applyBorder="1"/>
    <xf numFmtId="0" fontId="11" fillId="3" borderId="1" xfId="25" applyFont="1" applyFill="1" applyBorder="1"/>
    <xf numFmtId="0" fontId="11" fillId="2" borderId="1" xfId="25" applyFont="1" applyFill="1" applyBorder="1" applyAlignment="1">
      <alignment horizontal="left"/>
    </xf>
    <xf numFmtId="0" fontId="11" fillId="2" borderId="1" xfId="25" applyFont="1" applyFill="1" applyBorder="1" applyAlignment="1">
      <alignment horizontal="left" vertical="top"/>
    </xf>
    <xf numFmtId="0" fontId="8" fillId="4" borderId="0" xfId="25" applyFont="1" applyFill="1" applyBorder="1"/>
    <xf numFmtId="0" fontId="10" fillId="0" borderId="0" xfId="25" applyFont="1" applyBorder="1" applyAlignment="1">
      <alignment vertical="top"/>
    </xf>
    <xf numFmtId="0" fontId="8" fillId="0" borderId="0" xfId="25" applyFont="1" applyFill="1" applyBorder="1"/>
    <xf numFmtId="0" fontId="11" fillId="2" borderId="0" xfId="1" applyFont="1" applyFill="1" applyBorder="1" applyAlignment="1">
      <alignment horizontal="center" vertical="center"/>
    </xf>
    <xf numFmtId="0" fontId="27" fillId="7" borderId="1" xfId="20" applyFont="1" applyFill="1" applyBorder="1" applyAlignment="1">
      <alignment horizontal="center" vertical="center" wrapText="1"/>
    </xf>
    <xf numFmtId="3" fontId="26" fillId="17" borderId="1" xfId="23" applyNumberFormat="1" applyFont="1" applyFill="1" applyBorder="1" applyAlignment="1">
      <alignment horizontal="left" wrapText="1"/>
    </xf>
    <xf numFmtId="3" fontId="16" fillId="17" borderId="1" xfId="23" applyNumberFormat="1" applyFont="1" applyFill="1" applyBorder="1" applyAlignment="1">
      <alignment horizontal="left" wrapText="1" indent="1"/>
    </xf>
    <xf numFmtId="0" fontId="28" fillId="5" borderId="0" xfId="1" applyFont="1" applyFill="1" applyBorder="1" applyAlignment="1">
      <alignment horizontal="left" vertical="top" indent="1"/>
    </xf>
    <xf numFmtId="0" fontId="27" fillId="5" borderId="0" xfId="1" applyFont="1" applyFill="1" applyBorder="1" applyAlignment="1">
      <alignment horizontal="left" vertical="top" indent="1"/>
    </xf>
    <xf numFmtId="0" fontId="39" fillId="0" borderId="0" xfId="23" applyFont="1" applyAlignment="1">
      <alignment wrapText="1"/>
    </xf>
    <xf numFmtId="0" fontId="26" fillId="18" borderId="1" xfId="23" applyFont="1" applyFill="1" applyBorder="1" applyAlignment="1">
      <alignment horizontal="center" vertical="center" wrapText="1"/>
    </xf>
    <xf numFmtId="2" fontId="39" fillId="15" borderId="1" xfId="23" applyNumberFormat="1" applyFont="1" applyFill="1" applyBorder="1" applyAlignment="1">
      <alignment horizontal="center"/>
    </xf>
    <xf numFmtId="3" fontId="28" fillId="11" borderId="1" xfId="20" quotePrefix="1" applyNumberFormat="1" applyFont="1" applyFill="1" applyBorder="1" applyAlignment="1">
      <alignment horizontal="left" indent="2"/>
    </xf>
    <xf numFmtId="37" fontId="48" fillId="16" borderId="1" xfId="27" applyNumberFormat="1" applyFont="1" applyFill="1" applyBorder="1" applyAlignment="1">
      <alignment horizontal="center"/>
    </xf>
    <xf numFmtId="168" fontId="28" fillId="9" borderId="1" xfId="1" applyNumberFormat="1" applyFont="1" applyFill="1" applyBorder="1" applyAlignment="1">
      <alignment horizontal="center"/>
    </xf>
    <xf numFmtId="168" fontId="28" fillId="7" borderId="1" xfId="1" applyNumberFormat="1" applyFont="1" applyFill="1" applyBorder="1" applyAlignment="1">
      <alignment horizontal="center"/>
    </xf>
    <xf numFmtId="0" fontId="39" fillId="7" borderId="1" xfId="20" applyFont="1" applyFill="1" applyBorder="1" applyAlignment="1">
      <alignment horizontal="center" vertical="center"/>
    </xf>
    <xf numFmtId="9" fontId="27" fillId="4" borderId="0" xfId="8" applyFont="1" applyFill="1" applyBorder="1" applyAlignment="1" applyProtection="1">
      <alignment horizontal="center"/>
      <protection locked="0"/>
    </xf>
    <xf numFmtId="168" fontId="27" fillId="9" borderId="1" xfId="1" applyNumberFormat="1" applyFont="1" applyFill="1" applyBorder="1" applyAlignment="1">
      <alignment horizontal="center"/>
    </xf>
    <xf numFmtId="169" fontId="28" fillId="9" borderId="1" xfId="1" applyNumberFormat="1" applyFont="1" applyFill="1" applyBorder="1" applyAlignment="1">
      <alignment horizontal="center"/>
    </xf>
    <xf numFmtId="169" fontId="28" fillId="7" borderId="1" xfId="1" applyNumberFormat="1" applyFont="1" applyFill="1" applyBorder="1" applyAlignment="1">
      <alignment horizontal="center"/>
    </xf>
    <xf numFmtId="4" fontId="16" fillId="17" borderId="1" xfId="23" applyNumberFormat="1" applyFont="1" applyFill="1" applyBorder="1" applyAlignment="1">
      <alignment horizontal="left" wrapText="1"/>
    </xf>
    <xf numFmtId="0" fontId="16" fillId="12" borderId="1" xfId="0" applyFont="1" applyFill="1" applyBorder="1"/>
    <xf numFmtId="0" fontId="16" fillId="0" borderId="0" xfId="0" applyFont="1" applyAlignment="1">
      <alignment vertical="center"/>
    </xf>
    <xf numFmtId="168" fontId="28" fillId="19" borderId="1" xfId="20" applyNumberFormat="1" applyFont="1" applyFill="1" applyBorder="1" applyAlignment="1">
      <alignment horizontal="center" vertical="center"/>
    </xf>
    <xf numFmtId="168" fontId="28" fillId="19" borderId="1" xfId="20" quotePrefix="1" applyNumberFormat="1" applyFont="1" applyFill="1" applyBorder="1" applyAlignment="1">
      <alignment horizontal="center" vertical="center"/>
    </xf>
    <xf numFmtId="0" fontId="50" fillId="0" borderId="0" xfId="0" applyFont="1"/>
    <xf numFmtId="0" fontId="26" fillId="7" borderId="9" xfId="0" applyFont="1" applyFill="1" applyBorder="1" applyAlignment="1">
      <alignment wrapText="1"/>
    </xf>
    <xf numFmtId="0" fontId="26" fillId="7" borderId="11" xfId="0" applyFont="1" applyFill="1" applyBorder="1" applyAlignment="1">
      <alignment wrapText="1"/>
    </xf>
    <xf numFmtId="168" fontId="16" fillId="12" borderId="9" xfId="0" applyNumberFormat="1" applyFont="1" applyFill="1" applyBorder="1" applyAlignment="1">
      <alignment horizontal="center"/>
    </xf>
    <xf numFmtId="168" fontId="16" fillId="13" borderId="10" xfId="0" applyNumberFormat="1" applyFont="1" applyFill="1" applyBorder="1" applyAlignment="1">
      <alignment horizontal="center"/>
    </xf>
    <xf numFmtId="168" fontId="16" fillId="12" borderId="23" xfId="0" applyNumberFormat="1" applyFont="1" applyFill="1" applyBorder="1" applyAlignment="1">
      <alignment horizontal="center"/>
    </xf>
    <xf numFmtId="168" fontId="16" fillId="12" borderId="11" xfId="0" applyNumberFormat="1" applyFont="1" applyFill="1" applyBorder="1" applyAlignment="1">
      <alignment horizontal="center"/>
    </xf>
    <xf numFmtId="168" fontId="16" fillId="13" borderId="12" xfId="0" applyNumberFormat="1" applyFont="1" applyFill="1" applyBorder="1" applyAlignment="1">
      <alignment horizontal="center"/>
    </xf>
    <xf numFmtId="168" fontId="16" fillId="12" borderId="27" xfId="0" applyNumberFormat="1" applyFont="1" applyFill="1" applyBorder="1" applyAlignment="1">
      <alignment horizontal="center"/>
    </xf>
    <xf numFmtId="165" fontId="40" fillId="19" borderId="22" xfId="20" applyNumberFormat="1" applyFont="1" applyFill="1" applyBorder="1" applyAlignment="1">
      <alignment horizontal="center" vertical="center"/>
    </xf>
    <xf numFmtId="165" fontId="40" fillId="19" borderId="26" xfId="20" applyNumberFormat="1" applyFont="1" applyFill="1" applyBorder="1" applyAlignment="1">
      <alignment horizontal="center" vertical="center"/>
    </xf>
    <xf numFmtId="0" fontId="30" fillId="0" borderId="0" xfId="28" applyFont="1"/>
    <xf numFmtId="0" fontId="8" fillId="0" borderId="0" xfId="28" applyFont="1"/>
    <xf numFmtId="0" fontId="14" fillId="2" borderId="0" xfId="28" applyFont="1" applyFill="1" applyBorder="1"/>
    <xf numFmtId="0" fontId="8" fillId="2" borderId="0" xfId="28" applyFont="1" applyFill="1"/>
    <xf numFmtId="0" fontId="14" fillId="4" borderId="3" xfId="28" applyFont="1" applyFill="1" applyBorder="1"/>
    <xf numFmtId="0" fontId="27" fillId="0" borderId="0" xfId="28" applyFont="1" applyBorder="1" applyAlignment="1">
      <alignment horizontal="left" indent="1"/>
    </xf>
    <xf numFmtId="1" fontId="27" fillId="0" borderId="0" xfId="28" applyNumberFormat="1" applyFont="1" applyFill="1" applyBorder="1" applyAlignment="1" applyProtection="1">
      <alignment horizontal="center"/>
      <protection locked="0"/>
    </xf>
    <xf numFmtId="0" fontId="8" fillId="0" borderId="0" xfId="28" applyFont="1" applyBorder="1" applyAlignment="1">
      <alignment wrapText="1"/>
    </xf>
    <xf numFmtId="0" fontId="12" fillId="4" borderId="3" xfId="28" quotePrefix="1" applyFont="1" applyFill="1" applyBorder="1" applyAlignment="1">
      <alignment horizontal="center"/>
    </xf>
    <xf numFmtId="0" fontId="14" fillId="4" borderId="0" xfId="28" applyFont="1" applyFill="1" applyBorder="1"/>
    <xf numFmtId="0" fontId="27" fillId="7" borderId="0" xfId="28" applyFont="1" applyFill="1" applyBorder="1" applyAlignment="1">
      <alignment horizontal="left" wrapText="1"/>
    </xf>
    <xf numFmtId="0" fontId="12" fillId="4" borderId="0" xfId="28" quotePrefix="1" applyFont="1" applyFill="1" applyBorder="1" applyAlignment="1">
      <alignment horizontal="center"/>
    </xf>
    <xf numFmtId="1" fontId="13" fillId="2" borderId="0" xfId="29" applyNumberFormat="1" applyFont="1" applyFill="1" applyBorder="1" applyAlignment="1">
      <alignment horizontal="center" wrapText="1"/>
    </xf>
    <xf numFmtId="0" fontId="27" fillId="0" borderId="0" xfId="28" applyFont="1" applyFill="1" applyBorder="1" applyAlignment="1">
      <alignment horizontal="left" wrapText="1"/>
    </xf>
    <xf numFmtId="0" fontId="28" fillId="4" borderId="0" xfId="28" applyFont="1" applyFill="1" applyBorder="1"/>
    <xf numFmtId="0" fontId="28" fillId="0" borderId="0" xfId="28" applyFont="1" applyFill="1" applyBorder="1"/>
    <xf numFmtId="0" fontId="27" fillId="0" borderId="0" xfId="28" applyFont="1" applyFill="1" applyBorder="1" applyAlignment="1">
      <alignment horizontal="left" indent="1"/>
    </xf>
    <xf numFmtId="3" fontId="27" fillId="9" borderId="4" xfId="28" applyNumberFormat="1" applyFont="1" applyFill="1" applyBorder="1" applyAlignment="1">
      <alignment horizontal="center"/>
    </xf>
    <xf numFmtId="1" fontId="27" fillId="9" borderId="4" xfId="8" applyNumberFormat="1" applyFont="1" applyFill="1" applyBorder="1" applyAlignment="1">
      <alignment horizontal="center"/>
    </xf>
    <xf numFmtId="0" fontId="27" fillId="9" borderId="4" xfId="8" applyNumberFormat="1" applyFont="1" applyFill="1" applyBorder="1" applyAlignment="1">
      <alignment horizontal="center"/>
    </xf>
    <xf numFmtId="3" fontId="27" fillId="0" borderId="0" xfId="28" applyNumberFormat="1" applyFont="1" applyBorder="1" applyAlignment="1">
      <alignment horizontal="left" indent="1"/>
    </xf>
    <xf numFmtId="3" fontId="27" fillId="0" borderId="0" xfId="28" applyNumberFormat="1" applyFont="1" applyFill="1" applyBorder="1" applyAlignment="1" applyProtection="1">
      <alignment horizontal="center"/>
      <protection locked="0"/>
    </xf>
    <xf numFmtId="0" fontId="27" fillId="7" borderId="0" xfId="28" applyFont="1" applyFill="1" applyBorder="1" applyAlignment="1">
      <alignment horizontal="left"/>
    </xf>
    <xf numFmtId="44" fontId="27" fillId="4" borderId="0" xfId="22" applyFont="1" applyFill="1" applyBorder="1" applyAlignment="1">
      <alignment horizontal="center"/>
    </xf>
    <xf numFmtId="0" fontId="11" fillId="4" borderId="0" xfId="28" applyFont="1" applyFill="1" applyBorder="1" applyAlignment="1">
      <alignment horizontal="center" vertical="center"/>
    </xf>
    <xf numFmtId="0" fontId="27" fillId="4" borderId="0" xfId="28" applyFont="1" applyFill="1" applyBorder="1" applyAlignment="1">
      <alignment horizontal="center" vertical="center"/>
    </xf>
    <xf numFmtId="0" fontId="13" fillId="4" borderId="0" xfId="28" applyFont="1" applyFill="1" applyBorder="1" applyAlignment="1">
      <alignment horizontal="center" vertical="center"/>
    </xf>
    <xf numFmtId="0" fontId="27" fillId="5" borderId="0" xfId="28" applyFont="1" applyFill="1" applyBorder="1" applyAlignment="1">
      <alignment horizontal="left" vertical="top"/>
    </xf>
    <xf numFmtId="0" fontId="8" fillId="2" borderId="0" xfId="28" applyFont="1" applyFill="1" applyBorder="1"/>
    <xf numFmtId="0" fontId="8" fillId="0" borderId="0" xfId="28" applyFont="1" applyBorder="1"/>
    <xf numFmtId="0" fontId="25" fillId="4" borderId="0" xfId="28" applyFont="1" applyFill="1" applyBorder="1" applyAlignment="1">
      <alignment horizontal="center" vertical="center"/>
    </xf>
    <xf numFmtId="0" fontId="26" fillId="4" borderId="0" xfId="28" applyFont="1" applyFill="1" applyBorder="1" applyAlignment="1">
      <alignment horizontal="left" vertical="center" indent="1"/>
    </xf>
    <xf numFmtId="9" fontId="28" fillId="4" borderId="0" xfId="8" applyFont="1" applyFill="1" applyBorder="1" applyAlignment="1" applyProtection="1">
      <alignment horizontal="center"/>
      <protection locked="0"/>
    </xf>
    <xf numFmtId="0" fontId="27" fillId="4" borderId="0" xfId="28" applyFont="1" applyFill="1" applyBorder="1" applyAlignment="1">
      <alignment horizontal="left" vertical="top"/>
    </xf>
    <xf numFmtId="0" fontId="11" fillId="2" borderId="0" xfId="1" applyFont="1" applyFill="1" applyBorder="1" applyAlignment="1">
      <alignment horizontal="center" vertical="center"/>
    </xf>
    <xf numFmtId="0" fontId="28" fillId="0" borderId="0" xfId="20" applyFont="1" applyBorder="1" applyAlignment="1">
      <alignment vertical="top" wrapText="1"/>
    </xf>
    <xf numFmtId="0" fontId="40" fillId="0" borderId="0" xfId="20" applyFont="1" applyBorder="1" applyAlignment="1">
      <alignment horizontal="left" wrapText="1"/>
    </xf>
    <xf numFmtId="0" fontId="27" fillId="7" borderId="1" xfId="20" applyFont="1" applyFill="1" applyBorder="1" applyAlignment="1">
      <alignment horizontal="center" vertical="center" wrapText="1"/>
    </xf>
    <xf numFmtId="9" fontId="27" fillId="20" borderId="4" xfId="8" applyFont="1" applyFill="1" applyBorder="1" applyAlignment="1">
      <alignment horizontal="center"/>
    </xf>
    <xf numFmtId="9" fontId="27" fillId="8" borderId="4" xfId="8" applyFont="1" applyFill="1" applyBorder="1" applyAlignment="1">
      <alignment horizontal="center"/>
    </xf>
    <xf numFmtId="9" fontId="27" fillId="4" borderId="0" xfId="8" applyFont="1" applyFill="1" applyBorder="1" applyAlignment="1" applyProtection="1">
      <alignment horizontal="center"/>
      <protection locked="0"/>
    </xf>
    <xf numFmtId="0" fontId="39" fillId="7" borderId="0" xfId="20" applyFont="1" applyFill="1" applyBorder="1" applyAlignment="1">
      <alignment horizontal="center" vertical="center"/>
    </xf>
    <xf numFmtId="168" fontId="28" fillId="7" borderId="0" xfId="1" applyNumberFormat="1" applyFont="1" applyFill="1" applyBorder="1" applyAlignment="1">
      <alignment horizontal="center"/>
    </xf>
    <xf numFmtId="0" fontId="27" fillId="7" borderId="1" xfId="20" applyFont="1" applyFill="1" applyBorder="1" applyAlignment="1">
      <alignment horizontal="left" vertical="center"/>
    </xf>
    <xf numFmtId="170" fontId="48" fillId="16" borderId="1" xfId="27" applyNumberFormat="1" applyFont="1" applyFill="1" applyBorder="1" applyAlignment="1">
      <alignment horizontal="center"/>
    </xf>
    <xf numFmtId="0" fontId="27" fillId="0" borderId="0" xfId="20" applyFont="1" applyBorder="1" applyAlignment="1">
      <alignment wrapText="1"/>
    </xf>
    <xf numFmtId="9" fontId="28" fillId="21" borderId="1" xfId="8" applyFont="1" applyFill="1" applyBorder="1" applyAlignment="1">
      <alignment horizontal="center" vertical="center" wrapText="1"/>
    </xf>
    <xf numFmtId="3" fontId="27" fillId="8" borderId="4" xfId="28" applyNumberFormat="1" applyFont="1" applyFill="1" applyBorder="1" applyAlignment="1">
      <alignment horizontal="center"/>
    </xf>
    <xf numFmtId="169" fontId="12" fillId="4" borderId="0" xfId="28" quotePrefix="1" applyNumberFormat="1" applyFont="1" applyFill="1" applyBorder="1" applyAlignment="1">
      <alignment horizontal="center"/>
    </xf>
    <xf numFmtId="1" fontId="27" fillId="0" borderId="0" xfId="28" applyNumberFormat="1" applyFont="1" applyFill="1" applyBorder="1" applyAlignment="1" applyProtection="1">
      <alignment horizontal="center" wrapText="1"/>
      <protection locked="0"/>
    </xf>
    <xf numFmtId="9" fontId="27" fillId="0" borderId="0" xfId="8" applyFont="1" applyFill="1" applyBorder="1" applyAlignment="1" applyProtection="1">
      <alignment horizontal="center" wrapText="1"/>
      <protection locked="0"/>
    </xf>
    <xf numFmtId="9" fontId="27" fillId="0" borderId="0" xfId="8" applyFont="1" applyFill="1" applyBorder="1" applyAlignment="1" applyProtection="1">
      <alignment horizontal="centerContinuous" wrapText="1"/>
      <protection locked="0"/>
    </xf>
    <xf numFmtId="0" fontId="25" fillId="2" borderId="0" xfId="1" applyFont="1" applyFill="1" applyBorder="1" applyAlignment="1">
      <alignment horizontal="center" vertical="center"/>
    </xf>
    <xf numFmtId="9" fontId="27" fillId="4" borderId="0" xfId="8" applyFont="1" applyFill="1" applyBorder="1" applyAlignment="1" applyProtection="1">
      <alignment horizontal="center"/>
      <protection locked="0"/>
    </xf>
    <xf numFmtId="0" fontId="28" fillId="0" borderId="0" xfId="20" applyFont="1" applyBorder="1" applyAlignment="1">
      <alignment vertical="top" wrapText="1"/>
    </xf>
    <xf numFmtId="0" fontId="40" fillId="0" borderId="0" xfId="20" applyFont="1" applyBorder="1" applyAlignment="1">
      <alignment horizontal="left" wrapText="1"/>
    </xf>
    <xf numFmtId="0" fontId="40" fillId="0" borderId="0" xfId="20" applyFont="1" applyBorder="1" applyAlignment="1">
      <alignment horizontal="left" vertical="top" wrapText="1"/>
    </xf>
    <xf numFmtId="0" fontId="8" fillId="0" borderId="0" xfId="25" applyFont="1" applyBorder="1"/>
    <xf numFmtId="0" fontId="8" fillId="4" borderId="0" xfId="25" applyFont="1" applyFill="1" applyBorder="1"/>
    <xf numFmtId="0" fontId="8" fillId="0" borderId="0" xfId="25" applyFont="1" applyBorder="1" applyAlignment="1">
      <alignment vertical="top" wrapText="1"/>
    </xf>
    <xf numFmtId="9" fontId="28" fillId="4" borderId="0" xfId="8" applyFont="1" applyFill="1" applyBorder="1" applyAlignment="1" applyProtection="1">
      <alignment horizontal="left"/>
      <protection locked="0"/>
    </xf>
    <xf numFmtId="0" fontId="27" fillId="0" borderId="0" xfId="20" applyFont="1" applyBorder="1" applyAlignment="1">
      <alignment vertical="top" wrapText="1"/>
    </xf>
    <xf numFmtId="0" fontId="27" fillId="0" borderId="1" xfId="20" applyFont="1" applyBorder="1" applyAlignment="1">
      <alignment vertical="top" wrapText="1"/>
    </xf>
    <xf numFmtId="0" fontId="39" fillId="0" borderId="1" xfId="20" applyFont="1" applyBorder="1" applyAlignment="1">
      <alignment vertical="center"/>
    </xf>
    <xf numFmtId="0" fontId="27" fillId="7" borderId="22" xfId="20" applyFont="1" applyFill="1" applyBorder="1" applyAlignment="1">
      <alignment vertical="top" wrapText="1"/>
    </xf>
    <xf numFmtId="0" fontId="16" fillId="4" borderId="0" xfId="20" applyFont="1" applyFill="1" applyBorder="1" applyAlignment="1">
      <alignment horizontal="center" vertical="center"/>
    </xf>
    <xf numFmtId="1" fontId="28" fillId="4" borderId="4" xfId="8" applyNumberFormat="1" applyFont="1" applyFill="1" applyBorder="1" applyAlignment="1" applyProtection="1">
      <alignment horizontal="center"/>
      <protection locked="0"/>
    </xf>
    <xf numFmtId="6" fontId="28" fillId="4" borderId="4" xfId="8" applyNumberFormat="1" applyFont="1" applyFill="1" applyBorder="1" applyAlignment="1" applyProtection="1">
      <alignment horizontal="center"/>
      <protection locked="0"/>
    </xf>
    <xf numFmtId="0" fontId="28" fillId="0" borderId="0" xfId="28" applyFont="1" applyFill="1" applyBorder="1" applyAlignment="1">
      <alignment horizontal="left" indent="1"/>
    </xf>
    <xf numFmtId="9" fontId="52" fillId="4" borderId="0" xfId="28" applyNumberFormat="1" applyFont="1" applyFill="1" applyBorder="1" applyAlignment="1">
      <alignment horizontal="center" vertical="center"/>
    </xf>
    <xf numFmtId="0" fontId="28" fillId="5" borderId="0" xfId="28" applyFont="1" applyFill="1" applyBorder="1" applyAlignment="1">
      <alignment horizontal="left" vertical="top"/>
    </xf>
    <xf numFmtId="9" fontId="27" fillId="4" borderId="0" xfId="8" applyFont="1" applyFill="1" applyBorder="1" applyAlignment="1" applyProtection="1">
      <alignment horizontal="center"/>
      <protection locked="0"/>
    </xf>
    <xf numFmtId="0" fontId="28" fillId="5" borderId="0" xfId="1" applyFont="1" applyFill="1" applyBorder="1" applyAlignment="1">
      <alignment horizontal="left" vertical="top"/>
    </xf>
    <xf numFmtId="0" fontId="28" fillId="5" borderId="0" xfId="1" applyFont="1" applyFill="1" applyBorder="1" applyAlignment="1">
      <alignment horizontal="left"/>
    </xf>
    <xf numFmtId="9" fontId="28" fillId="4" borderId="0" xfId="8" applyFont="1" applyFill="1" applyBorder="1" applyAlignment="1" applyProtection="1">
      <protection locked="0"/>
    </xf>
    <xf numFmtId="171" fontId="8" fillId="0" borderId="0" xfId="30" applyNumberFormat="1" applyFont="1"/>
    <xf numFmtId="9" fontId="8" fillId="0" borderId="0" xfId="8" applyFont="1"/>
    <xf numFmtId="9" fontId="27" fillId="4" borderId="0" xfId="8" applyFont="1" applyFill="1" applyBorder="1" applyAlignment="1" applyProtection="1">
      <alignment horizontal="center"/>
      <protection locked="0"/>
    </xf>
    <xf numFmtId="43" fontId="27" fillId="4" borderId="0" xfId="30" applyFont="1" applyFill="1" applyBorder="1" applyAlignment="1" applyProtection="1">
      <alignment horizontal="center"/>
      <protection locked="0"/>
    </xf>
    <xf numFmtId="0" fontId="8" fillId="4" borderId="0" xfId="20" applyFont="1" applyFill="1"/>
    <xf numFmtId="0" fontId="16" fillId="4" borderId="0" xfId="0" applyFont="1" applyFill="1"/>
    <xf numFmtId="0" fontId="16" fillId="4" borderId="0" xfId="0" applyFont="1" applyFill="1" applyBorder="1"/>
    <xf numFmtId="0" fontId="16" fillId="4" borderId="0" xfId="0" applyFont="1" applyFill="1" applyAlignment="1">
      <alignment vertical="center"/>
    </xf>
    <xf numFmtId="0" fontId="0" fillId="4" borderId="0" xfId="0" applyFill="1"/>
    <xf numFmtId="9" fontId="28" fillId="4" borderId="0" xfId="8" applyFont="1" applyFill="1" applyBorder="1" applyAlignment="1" applyProtection="1">
      <alignment horizontal="left"/>
      <protection locked="0"/>
    </xf>
    <xf numFmtId="0" fontId="53" fillId="4" borderId="0" xfId="20" applyFont="1" applyFill="1" applyAlignment="1">
      <alignment vertical="center"/>
    </xf>
    <xf numFmtId="0" fontId="54" fillId="2" borderId="0" xfId="1" applyFont="1" applyFill="1" applyBorder="1"/>
    <xf numFmtId="0" fontId="55" fillId="0" borderId="0" xfId="20" applyFont="1" applyBorder="1"/>
    <xf numFmtId="0" fontId="55" fillId="4" borderId="0" xfId="20" applyFont="1" applyFill="1"/>
    <xf numFmtId="0" fontId="55" fillId="4" borderId="0" xfId="0" applyFont="1" applyFill="1"/>
    <xf numFmtId="0" fontId="55" fillId="4" borderId="0" xfId="0" applyFont="1" applyFill="1" applyBorder="1"/>
    <xf numFmtId="0" fontId="55" fillId="4" borderId="0" xfId="0" applyFont="1" applyFill="1" applyAlignment="1">
      <alignment vertical="center"/>
    </xf>
    <xf numFmtId="0" fontId="55" fillId="2" borderId="0" xfId="1" applyFont="1" applyFill="1"/>
    <xf numFmtId="0" fontId="55" fillId="0" borderId="0" xfId="20" applyFont="1"/>
    <xf numFmtId="0" fontId="55" fillId="4" borderId="0" xfId="0" applyFont="1" applyFill="1" applyAlignment="1">
      <alignment wrapText="1"/>
    </xf>
    <xf numFmtId="9" fontId="27" fillId="4" borderId="0" xfId="8" applyFont="1" applyFill="1" applyBorder="1" applyAlignment="1" applyProtection="1">
      <alignment horizontal="center"/>
      <protection locked="0"/>
    </xf>
    <xf numFmtId="9" fontId="27" fillId="4" borderId="0" xfId="8" applyFont="1" applyFill="1" applyBorder="1" applyAlignment="1" applyProtection="1">
      <alignment horizontal="center"/>
      <protection locked="0"/>
    </xf>
    <xf numFmtId="0" fontId="27" fillId="0" borderId="0" xfId="28" applyFont="1" applyFill="1" applyBorder="1" applyAlignment="1">
      <alignment horizontal="left" vertical="center"/>
    </xf>
    <xf numFmtId="0" fontId="42" fillId="0" borderId="0" xfId="28" applyFont="1"/>
    <xf numFmtId="9" fontId="27" fillId="4" borderId="0" xfId="8" applyFont="1" applyFill="1" applyBorder="1" applyAlignment="1">
      <alignment horizontal="center"/>
    </xf>
    <xf numFmtId="0" fontId="0" fillId="4" borderId="0" xfId="0" applyFill="1" applyBorder="1"/>
    <xf numFmtId="2" fontId="27" fillId="9" borderId="4" xfId="1" applyNumberFormat="1" applyFont="1" applyFill="1" applyBorder="1" applyAlignment="1">
      <alignment horizontal="center"/>
    </xf>
    <xf numFmtId="4" fontId="27" fillId="9" borderId="4" xfId="1" applyNumberFormat="1" applyFont="1" applyFill="1" applyBorder="1" applyAlignment="1">
      <alignment horizontal="center"/>
    </xf>
    <xf numFmtId="9" fontId="27" fillId="8" borderId="4" xfId="8" applyNumberFormat="1" applyFont="1" applyFill="1" applyBorder="1" applyAlignment="1">
      <alignment horizontal="center"/>
    </xf>
    <xf numFmtId="1" fontId="27" fillId="0" borderId="0" xfId="28" applyNumberFormat="1" applyFont="1" applyFill="1" applyBorder="1" applyAlignment="1">
      <alignment horizontal="left" indent="1"/>
    </xf>
    <xf numFmtId="9" fontId="27" fillId="0" borderId="0" xfId="8" applyFont="1" applyFill="1" applyBorder="1" applyAlignment="1" applyProtection="1">
      <alignment wrapText="1"/>
      <protection locked="0"/>
    </xf>
    <xf numFmtId="0" fontId="26" fillId="0" borderId="0" xfId="0" applyFont="1" applyAlignment="1">
      <alignment horizontal="center" vertical="center" wrapText="1"/>
    </xf>
    <xf numFmtId="0" fontId="12" fillId="4" borderId="0" xfId="28" quotePrefix="1" applyFont="1" applyFill="1" applyBorder="1" applyAlignment="1">
      <alignment horizontal="center" vertical="center"/>
    </xf>
    <xf numFmtId="3" fontId="27" fillId="0" borderId="0" xfId="28" applyNumberFormat="1" applyFont="1" applyFill="1" applyBorder="1" applyAlignment="1" applyProtection="1">
      <alignment horizontal="center" vertical="center" wrapText="1"/>
      <protection locked="0"/>
    </xf>
    <xf numFmtId="3" fontId="27" fillId="9" borderId="4" xfId="30" applyNumberFormat="1" applyFont="1" applyFill="1" applyBorder="1" applyAlignment="1">
      <alignment horizontal="center" vertical="center"/>
    </xf>
    <xf numFmtId="3" fontId="27" fillId="20" borderId="4" xfId="22" applyNumberFormat="1" applyFont="1" applyFill="1" applyBorder="1" applyAlignment="1">
      <alignment horizontal="center"/>
    </xf>
    <xf numFmtId="3" fontId="27" fillId="9" borderId="4" xfId="8" applyNumberFormat="1" applyFont="1" applyFill="1" applyBorder="1" applyAlignment="1">
      <alignment horizontal="center"/>
    </xf>
    <xf numFmtId="4" fontId="27" fillId="20" borderId="4" xfId="22" applyNumberFormat="1" applyFont="1" applyFill="1" applyBorder="1" applyAlignment="1">
      <alignment horizontal="center"/>
    </xf>
    <xf numFmtId="3" fontId="28" fillId="3" borderId="4" xfId="8" applyNumberFormat="1" applyFont="1" applyFill="1" applyBorder="1" applyAlignment="1" applyProtection="1">
      <alignment horizontal="center"/>
      <protection locked="0"/>
    </xf>
    <xf numFmtId="9" fontId="28" fillId="4" borderId="0" xfId="8" applyFont="1" applyFill="1" applyBorder="1" applyAlignment="1" applyProtection="1">
      <alignment horizontal="left"/>
      <protection locked="0"/>
    </xf>
    <xf numFmtId="0" fontId="8" fillId="4" borderId="0" xfId="28" applyFont="1" applyFill="1"/>
    <xf numFmtId="0" fontId="42" fillId="2" borderId="0" xfId="28" applyFont="1" applyFill="1"/>
    <xf numFmtId="0" fontId="52" fillId="2" borderId="0" xfId="28" applyFont="1" applyFill="1"/>
    <xf numFmtId="0" fontId="8" fillId="2" borderId="30" xfId="28" applyFont="1" applyFill="1" applyBorder="1"/>
    <xf numFmtId="0" fontId="8" fillId="0" borderId="31" xfId="28" applyFont="1" applyBorder="1"/>
    <xf numFmtId="0" fontId="39" fillId="0" borderId="0" xfId="28" applyFont="1"/>
    <xf numFmtId="2" fontId="39" fillId="0" borderId="0" xfId="28" applyNumberFormat="1" applyFont="1"/>
    <xf numFmtId="9" fontId="39" fillId="0" borderId="0" xfId="8" applyFont="1"/>
    <xf numFmtId="0" fontId="39" fillId="4" borderId="0" xfId="28" applyFont="1" applyFill="1"/>
    <xf numFmtId="2" fontId="27" fillId="4" borderId="0" xfId="8" applyNumberFormat="1" applyFont="1" applyFill="1" applyBorder="1" applyAlignment="1" applyProtection="1">
      <alignment horizontal="center"/>
      <protection locked="0"/>
    </xf>
    <xf numFmtId="3" fontId="28" fillId="4" borderId="4" xfId="8" applyNumberFormat="1" applyFont="1" applyFill="1" applyBorder="1" applyAlignment="1" applyProtection="1">
      <alignment horizontal="center"/>
      <protection locked="0"/>
    </xf>
    <xf numFmtId="1" fontId="28" fillId="0" borderId="0" xfId="28" applyNumberFormat="1" applyFont="1" applyFill="1" applyBorder="1" applyAlignment="1">
      <alignment horizontal="left" indent="1"/>
    </xf>
    <xf numFmtId="0" fontId="9" fillId="0" borderId="0" xfId="1" applyFont="1" applyBorder="1" applyAlignment="1">
      <alignment horizontal="center" vertical="center" wrapText="1"/>
    </xf>
    <xf numFmtId="0" fontId="9" fillId="0" borderId="0" xfId="1" applyFont="1" applyBorder="1" applyAlignment="1">
      <alignment horizontal="center" vertical="center"/>
    </xf>
    <xf numFmtId="0" fontId="15" fillId="0" borderId="0" xfId="1" applyFont="1" applyBorder="1" applyAlignment="1">
      <alignment horizontal="center" vertical="center" wrapText="1"/>
    </xf>
    <xf numFmtId="0" fontId="15" fillId="0" borderId="0" xfId="1" applyFont="1" applyBorder="1" applyAlignment="1">
      <alignment horizontal="center" vertical="center"/>
    </xf>
    <xf numFmtId="0" fontId="10" fillId="0" borderId="0" xfId="25" applyFont="1" applyBorder="1" applyAlignment="1">
      <alignment wrapText="1"/>
    </xf>
    <xf numFmtId="0" fontId="8" fillId="4" borderId="0" xfId="25" applyFont="1" applyFill="1" applyBorder="1"/>
    <xf numFmtId="0" fontId="8" fillId="0" borderId="0" xfId="25" applyFont="1" applyBorder="1"/>
    <xf numFmtId="0" fontId="24" fillId="0" borderId="0" xfId="25" applyFont="1" applyBorder="1" applyAlignment="1">
      <alignment horizontal="center"/>
    </xf>
    <xf numFmtId="0" fontId="25" fillId="2" borderId="0" xfId="25" applyFont="1" applyFill="1" applyBorder="1" applyAlignment="1">
      <alignment horizontal="center"/>
    </xf>
    <xf numFmtId="0" fontId="8" fillId="4" borderId="0" xfId="25" applyFont="1" applyFill="1" applyBorder="1" applyAlignment="1">
      <alignment vertical="top" wrapText="1"/>
    </xf>
    <xf numFmtId="0" fontId="31" fillId="0" borderId="0" xfId="25" applyFont="1" applyBorder="1" applyAlignment="1">
      <alignment horizontal="left" vertical="top" wrapText="1"/>
    </xf>
    <xf numFmtId="0" fontId="35" fillId="0" borderId="0" xfId="25" applyFont="1" applyBorder="1" applyAlignment="1">
      <alignment horizontal="left" vertical="top" wrapText="1"/>
    </xf>
    <xf numFmtId="0" fontId="8" fillId="0" borderId="1" xfId="25" applyFont="1" applyBorder="1" applyAlignment="1">
      <alignment horizontal="left" vertical="top" wrapText="1"/>
    </xf>
    <xf numFmtId="0" fontId="10" fillId="0" borderId="1" xfId="25" applyFont="1" applyBorder="1" applyAlignment="1">
      <alignment horizontal="left"/>
    </xf>
    <xf numFmtId="0" fontId="8" fillId="0" borderId="1" xfId="25" applyFont="1" applyBorder="1" applyAlignment="1">
      <alignment horizontal="left"/>
    </xf>
    <xf numFmtId="0" fontId="25" fillId="2" borderId="0" xfId="25" applyFont="1" applyFill="1" applyBorder="1" applyAlignment="1">
      <alignment horizontal="left"/>
    </xf>
    <xf numFmtId="0" fontId="8" fillId="0" borderId="0" xfId="25" quotePrefix="1" applyFont="1" applyBorder="1" applyAlignment="1">
      <alignment vertical="top" wrapText="1"/>
    </xf>
    <xf numFmtId="0" fontId="8" fillId="0" borderId="0" xfId="25" applyFont="1" applyBorder="1" applyAlignment="1">
      <alignment vertical="top" wrapText="1"/>
    </xf>
    <xf numFmtId="0" fontId="25" fillId="2" borderId="0" xfId="25" applyFont="1" applyFill="1" applyBorder="1" applyAlignment="1">
      <alignment horizontal="left" wrapText="1"/>
    </xf>
    <xf numFmtId="0" fontId="25" fillId="2" borderId="0" xfId="1" applyFont="1" applyFill="1" applyBorder="1" applyAlignment="1">
      <alignment horizontal="center" vertical="center"/>
    </xf>
    <xf numFmtId="0" fontId="11" fillId="2" borderId="0" xfId="1" applyFont="1" applyFill="1" applyBorder="1" applyAlignment="1">
      <alignment horizontal="center" vertical="center"/>
    </xf>
    <xf numFmtId="0" fontId="24" fillId="4" borderId="0" xfId="1" applyFont="1" applyFill="1" applyBorder="1" applyAlignment="1">
      <alignment horizontal="center" vertical="center"/>
    </xf>
    <xf numFmtId="0" fontId="27" fillId="4" borderId="0" xfId="1" applyFont="1" applyFill="1" applyBorder="1" applyAlignment="1">
      <alignment horizontal="left" vertical="center"/>
    </xf>
    <xf numFmtId="9" fontId="28" fillId="4" borderId="0" xfId="8" applyFont="1" applyFill="1" applyBorder="1" applyAlignment="1" applyProtection="1">
      <alignment horizontal="left"/>
      <protection locked="0"/>
    </xf>
    <xf numFmtId="9" fontId="27" fillId="4" borderId="0" xfId="8" applyFont="1" applyFill="1" applyBorder="1" applyAlignment="1" applyProtection="1">
      <alignment horizontal="center"/>
      <protection locked="0"/>
    </xf>
    <xf numFmtId="0" fontId="25" fillId="2" borderId="0" xfId="28" applyFont="1" applyFill="1" applyBorder="1" applyAlignment="1">
      <alignment horizontal="center" vertical="center"/>
    </xf>
    <xf numFmtId="0" fontId="11" fillId="2" borderId="0" xfId="28" applyFont="1" applyFill="1" applyBorder="1" applyAlignment="1">
      <alignment horizontal="center" vertical="center"/>
    </xf>
    <xf numFmtId="0" fontId="27" fillId="4" borderId="0" xfId="28" applyFont="1" applyFill="1" applyBorder="1" applyAlignment="1">
      <alignment horizontal="left" vertical="center"/>
    </xf>
    <xf numFmtId="0" fontId="24" fillId="4" borderId="0" xfId="28" applyFont="1" applyFill="1" applyBorder="1" applyAlignment="1">
      <alignment horizontal="center" vertical="center"/>
    </xf>
    <xf numFmtId="0" fontId="24" fillId="4" borderId="32" xfId="28" applyFont="1" applyFill="1" applyBorder="1" applyAlignment="1">
      <alignment horizontal="center" vertical="center"/>
    </xf>
    <xf numFmtId="0" fontId="28" fillId="0" borderId="22" xfId="20" applyFont="1" applyBorder="1" applyAlignment="1">
      <alignment horizontal="left" vertical="top" wrapText="1"/>
    </xf>
    <xf numFmtId="0" fontId="28" fillId="0" borderId="24" xfId="20" applyFont="1" applyBorder="1" applyAlignment="1">
      <alignment horizontal="left" vertical="top" wrapText="1"/>
    </xf>
    <xf numFmtId="0" fontId="28" fillId="0" borderId="23" xfId="20" applyFont="1" applyBorder="1" applyAlignment="1">
      <alignment horizontal="left" vertical="top" wrapText="1"/>
    </xf>
    <xf numFmtId="0" fontId="28" fillId="0" borderId="0" xfId="20" applyFont="1" applyBorder="1" applyAlignment="1">
      <alignment vertical="top" wrapText="1"/>
    </xf>
    <xf numFmtId="0" fontId="27" fillId="0" borderId="0" xfId="20" applyFont="1" applyBorder="1" applyAlignment="1">
      <alignment vertical="top" wrapText="1"/>
    </xf>
    <xf numFmtId="0" fontId="28" fillId="0" borderId="1" xfId="20" applyFont="1" applyBorder="1" applyAlignment="1">
      <alignment horizontal="left" vertical="top" wrapText="1"/>
    </xf>
    <xf numFmtId="0" fontId="40" fillId="0" borderId="1" xfId="20" applyFont="1" applyBorder="1" applyAlignment="1">
      <alignment horizontal="left" vertical="top" wrapText="1"/>
    </xf>
    <xf numFmtId="0" fontId="27" fillId="7" borderId="22" xfId="20" applyFont="1" applyFill="1" applyBorder="1" applyAlignment="1">
      <alignment vertical="top" wrapText="1"/>
    </xf>
    <xf numFmtId="0" fontId="27" fillId="7" borderId="24" xfId="20" applyFont="1" applyFill="1" applyBorder="1" applyAlignment="1">
      <alignment vertical="top" wrapText="1"/>
    </xf>
    <xf numFmtId="0" fontId="27" fillId="7" borderId="23" xfId="20" applyFont="1" applyFill="1" applyBorder="1" applyAlignment="1">
      <alignment vertical="top" wrapText="1"/>
    </xf>
    <xf numFmtId="9" fontId="16" fillId="10" borderId="22" xfId="21" applyFont="1" applyFill="1" applyBorder="1" applyAlignment="1">
      <alignment horizontal="center" vertical="top"/>
    </xf>
    <xf numFmtId="9" fontId="16" fillId="10" borderId="23" xfId="21" applyFont="1" applyFill="1" applyBorder="1" applyAlignment="1">
      <alignment horizontal="center" vertical="top"/>
    </xf>
    <xf numFmtId="0" fontId="27" fillId="7" borderId="1" xfId="20" applyFont="1" applyFill="1" applyBorder="1" applyAlignment="1">
      <alignment vertical="top" wrapText="1"/>
    </xf>
    <xf numFmtId="0" fontId="27" fillId="7" borderId="18" xfId="20" applyFont="1" applyFill="1" applyBorder="1" applyAlignment="1">
      <alignment horizontal="center" vertical="center" wrapText="1"/>
    </xf>
    <xf numFmtId="0" fontId="27" fillId="7" borderId="19" xfId="20" applyFont="1" applyFill="1" applyBorder="1" applyAlignment="1">
      <alignment horizontal="center" vertical="center" wrapText="1"/>
    </xf>
    <xf numFmtId="0" fontId="27" fillId="7" borderId="20" xfId="20" applyFont="1" applyFill="1" applyBorder="1" applyAlignment="1">
      <alignment horizontal="center" vertical="center" wrapText="1"/>
    </xf>
    <xf numFmtId="0" fontId="27" fillId="7" borderId="21" xfId="20" applyFont="1" applyFill="1" applyBorder="1" applyAlignment="1">
      <alignment horizontal="center" vertical="center" wrapText="1"/>
    </xf>
    <xf numFmtId="168" fontId="28" fillId="19" borderId="1" xfId="20" quotePrefix="1" applyNumberFormat="1" applyFont="1" applyFill="1" applyBorder="1" applyAlignment="1">
      <alignment horizontal="center" vertical="center"/>
    </xf>
    <xf numFmtId="0" fontId="40" fillId="0" borderId="0" xfId="20" applyFont="1" applyBorder="1" applyAlignment="1">
      <alignment horizontal="left" wrapText="1"/>
    </xf>
    <xf numFmtId="0" fontId="27" fillId="7" borderId="1" xfId="20" applyFont="1" applyFill="1" applyBorder="1" applyAlignment="1">
      <alignment horizontal="center" vertical="center"/>
    </xf>
    <xf numFmtId="0" fontId="27" fillId="7" borderId="1" xfId="20" applyFont="1" applyFill="1" applyBorder="1" applyAlignment="1">
      <alignment horizontal="center" vertical="center" wrapText="1"/>
    </xf>
    <xf numFmtId="0" fontId="26" fillId="7" borderId="7" xfId="0" applyFont="1" applyFill="1" applyBorder="1" applyAlignment="1">
      <alignment horizontal="center" wrapText="1"/>
    </xf>
    <xf numFmtId="0" fontId="26" fillId="7" borderId="8" xfId="0" applyFont="1" applyFill="1" applyBorder="1" applyAlignment="1">
      <alignment horizontal="center" wrapText="1"/>
    </xf>
    <xf numFmtId="0" fontId="26" fillId="7" borderId="21" xfId="0" applyFont="1" applyFill="1" applyBorder="1" applyAlignment="1">
      <alignment horizontal="center" wrapText="1"/>
    </xf>
    <xf numFmtId="0" fontId="26" fillId="7" borderId="14" xfId="0" applyFont="1" applyFill="1" applyBorder="1" applyAlignment="1">
      <alignment horizontal="center" wrapText="1"/>
    </xf>
    <xf numFmtId="0" fontId="51" fillId="0" borderId="29" xfId="19" applyFont="1" applyBorder="1" applyAlignment="1">
      <alignment horizontal="left" vertical="top" wrapText="1" indent="1"/>
    </xf>
    <xf numFmtId="0" fontId="51" fillId="0" borderId="0" xfId="19" applyFont="1" applyBorder="1" applyAlignment="1">
      <alignment horizontal="left" vertical="top" wrapText="1" indent="1"/>
    </xf>
    <xf numFmtId="0" fontId="16" fillId="7" borderId="7" xfId="0" applyFont="1" applyFill="1" applyBorder="1" applyAlignment="1">
      <alignment horizontal="center"/>
    </xf>
    <xf numFmtId="0" fontId="16" fillId="7" borderId="28" xfId="0" applyFont="1" applyFill="1" applyBorder="1" applyAlignment="1">
      <alignment horizontal="center"/>
    </xf>
    <xf numFmtId="0" fontId="26" fillId="7" borderId="9" xfId="0" applyFont="1" applyFill="1" applyBorder="1" applyAlignment="1">
      <alignment horizontal="left" wrapText="1"/>
    </xf>
    <xf numFmtId="0" fontId="26" fillId="7" borderId="22" xfId="0" applyFont="1" applyFill="1" applyBorder="1" applyAlignment="1">
      <alignment horizontal="left" wrapText="1"/>
    </xf>
    <xf numFmtId="0" fontId="26" fillId="7" borderId="15" xfId="0" applyFont="1" applyFill="1" applyBorder="1" applyAlignment="1">
      <alignment horizontal="center" wrapText="1"/>
    </xf>
    <xf numFmtId="0" fontId="26" fillId="7" borderId="16" xfId="0" applyFont="1" applyFill="1" applyBorder="1" applyAlignment="1">
      <alignment horizontal="center" wrapText="1"/>
    </xf>
    <xf numFmtId="0" fontId="26" fillId="7" borderId="17" xfId="0" applyFont="1" applyFill="1" applyBorder="1" applyAlignment="1">
      <alignment horizontal="center" wrapText="1"/>
    </xf>
    <xf numFmtId="0" fontId="26" fillId="7" borderId="13" xfId="0" applyFont="1" applyFill="1" applyBorder="1" applyAlignment="1">
      <alignment horizontal="center" wrapText="1"/>
    </xf>
    <xf numFmtId="164" fontId="40" fillId="19" borderId="5" xfId="20" applyNumberFormat="1" applyFont="1" applyFill="1" applyBorder="1" applyAlignment="1">
      <alignment horizontal="center" vertical="center"/>
    </xf>
    <xf numFmtId="164" fontId="40" fillId="19" borderId="25" xfId="20" applyNumberFormat="1" applyFont="1" applyFill="1" applyBorder="1" applyAlignment="1">
      <alignment horizontal="center" vertical="center"/>
    </xf>
    <xf numFmtId="164" fontId="40" fillId="19" borderId="24" xfId="20" applyNumberFormat="1" applyFont="1" applyFill="1" applyBorder="1" applyAlignment="1">
      <alignment horizontal="center" vertical="center"/>
    </xf>
    <xf numFmtId="0" fontId="49" fillId="7" borderId="9" xfId="0" applyFont="1" applyFill="1" applyBorder="1" applyAlignment="1">
      <alignment horizontal="right" wrapText="1"/>
    </xf>
    <xf numFmtId="0" fontId="49" fillId="7" borderId="22" xfId="0" applyFont="1" applyFill="1" applyBorder="1" applyAlignment="1">
      <alignment horizontal="right" wrapText="1"/>
    </xf>
    <xf numFmtId="0" fontId="39" fillId="0" borderId="22" xfId="20" applyFont="1" applyBorder="1" applyAlignment="1">
      <alignment vertical="center"/>
    </xf>
    <xf numFmtId="0" fontId="39" fillId="0" borderId="24" xfId="20" applyFont="1" applyBorder="1" applyAlignment="1">
      <alignment vertical="center"/>
    </xf>
    <xf numFmtId="0" fontId="39" fillId="0" borderId="23" xfId="20" applyFont="1" applyBorder="1" applyAlignment="1">
      <alignment vertical="center"/>
    </xf>
    <xf numFmtId="0" fontId="43" fillId="21" borderId="1" xfId="20" applyFont="1" applyFill="1" applyBorder="1" applyAlignment="1">
      <alignment horizontal="center" vertical="center"/>
    </xf>
    <xf numFmtId="0" fontId="10" fillId="21" borderId="1" xfId="20" applyFont="1" applyFill="1" applyBorder="1" applyAlignment="1">
      <alignment horizontal="center"/>
    </xf>
  </cellXfs>
  <cellStyles count="31">
    <cellStyle name="Accent1 2" xfId="5"/>
    <cellStyle name="Comma" xfId="30" builtinId="3"/>
    <cellStyle name="Comma 2" xfId="2"/>
    <cellStyle name="Comma 2 2" xfId="10"/>
    <cellStyle name="Comma 2 3" xfId="29"/>
    <cellStyle name="Comma 3" xfId="6"/>
    <cellStyle name="Comma 4" xfId="27"/>
    <cellStyle name="Currency" xfId="22" builtinId="4"/>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Hyperlink" xfId="19" builtinId="8"/>
    <cellStyle name="Normal" xfId="0" builtinId="0"/>
    <cellStyle name="Normal 2" xfId="1"/>
    <cellStyle name="Normal 2 2" xfId="9"/>
    <cellStyle name="Normal 2 3" xfId="25"/>
    <cellStyle name="Normal 2 4" xfId="28"/>
    <cellStyle name="Normal 3" xfId="4"/>
    <cellStyle name="Normal 4" xfId="20"/>
    <cellStyle name="Normal 5" xfId="23"/>
    <cellStyle name="Normal 6" xfId="26"/>
    <cellStyle name="Percent" xfId="8" builtinId="5"/>
    <cellStyle name="Percent 2" xfId="3"/>
    <cellStyle name="Percent 3" xfId="7"/>
    <cellStyle name="Percent 4" xfId="21"/>
    <cellStyle name="Percent 5" xfId="24"/>
  </cellStyles>
  <dxfs count="56">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C000"/>
        </patternFill>
      </fill>
    </dxf>
    <dxf>
      <fill>
        <patternFill>
          <bgColor theme="9"/>
        </patternFill>
      </fill>
    </dxf>
    <dxf>
      <fill>
        <patternFill>
          <bgColor rgb="FFFF0000"/>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
      <font>
        <color auto="1"/>
      </font>
      <fill>
        <patternFill>
          <bgColor theme="7"/>
        </patternFill>
      </fill>
    </dxf>
  </dxfs>
  <tableStyles count="0" defaultTableStyle="TableStyleMedium2" defaultPivotStyle="PivotStyleLight16"/>
  <colors>
    <mruColors>
      <color rgb="FF323372"/>
      <color rgb="FF9999FF"/>
      <color rgb="FF9966FF"/>
      <color rgb="FF16B6BA"/>
      <color rgb="FFFFFFCC"/>
      <color rgb="FFF6BE00"/>
      <color rgb="FF99CCFF"/>
      <color rgb="FF19D1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44007765067102461"/>
          <c:y val="0.10820245551439277"/>
          <c:w val="0.50604104032450492"/>
          <c:h val="0.79851863329248429"/>
        </c:manualLayout>
      </c:layout>
      <c:barChart>
        <c:barDir val="bar"/>
        <c:grouping val="clustered"/>
        <c:varyColors val="0"/>
        <c:ser>
          <c:idx val="1"/>
          <c:order val="0"/>
          <c:tx>
            <c:v>Increase in input value</c:v>
          </c:tx>
          <c:spPr>
            <a:solidFill>
              <a:srgbClr val="70AD47">
                <a:lumMod val="60000"/>
                <a:lumOff val="40000"/>
              </a:srgbClr>
            </a:solidFill>
            <a:ln>
              <a:noFill/>
            </a:ln>
          </c:spPr>
          <c:invertIfNegative val="0"/>
          <c:cat>
            <c:strRef>
              <c:f>'Tornado Setup'!$J$7:$J$28</c:f>
              <c:strCache>
                <c:ptCount val="22"/>
                <c:pt idx="0">
                  <c:v>New cases per day +/- 30%</c:v>
                </c:pt>
                <c:pt idx="1">
                  <c:v>Productive hours per employee per week +/- 30%</c:v>
                </c:pt>
                <c:pt idx="2">
                  <c:v>Proportion of cases reached +/- 30%</c:v>
                </c:pt>
                <c:pt idx="3">
                  <c:v>Average number of contacts per case +/- 30%</c:v>
                </c:pt>
                <c:pt idx="4">
                  <c:v>Proportion of contacts reached +/- 30%</c:v>
                </c:pt>
                <c:pt idx="5">
                  <c:v>Minutes spent on each contact reached +/- 30%</c:v>
                </c:pt>
                <c:pt idx="6">
                  <c:v>Minutes spent on each case reached +/- 30%</c:v>
                </c:pt>
                <c:pt idx="7">
                  <c:v>Number of cases per resource coordinator per day  +/- 30%</c:v>
                </c:pt>
                <c:pt idx="8">
                  <c:v>Number of follow-up calls +/- 30%</c:v>
                </c:pt>
                <c:pt idx="9">
                  <c:v>Minutes spent on each contact not reached +/- 30%</c:v>
                </c:pt>
                <c:pt idx="10">
                  <c:v>Minutes spent on each follow-up call +/- 30%</c:v>
                </c:pt>
                <c:pt idx="11">
                  <c:v>Proportion of contacts requesting coordinators +/- 30%</c:v>
                </c:pt>
                <c:pt idx="12">
                  <c:v>Number of staff per supervisor/manager +/- 30%</c:v>
                </c:pt>
                <c:pt idx="13">
                  <c:v>Proportion of cases requesting coodinators +/- 30%</c:v>
                </c:pt>
                <c:pt idx="14">
                  <c:v>Minutes spent on each case not reached +/- 30%</c:v>
                </c:pt>
                <c:pt idx="15">
                  <c:v>Minutes spent on each follow-up text message +/- 30%</c:v>
                </c:pt>
                <c:pt idx="16">
                  <c:v>Number of follow-up text messages +/- 30%</c:v>
                </c:pt>
                <c:pt idx="17">
                  <c:v>#REF!</c:v>
                </c:pt>
                <c:pt idx="18">
                  <c:v>Hourly rate - case investigator +/- 30%</c:v>
                </c:pt>
                <c:pt idx="19">
                  <c:v>Hourly rate - contact tracer +/- 30%</c:v>
                </c:pt>
                <c:pt idx="20">
                  <c:v>Hourly rate - resource coordinator +/- 30%</c:v>
                </c:pt>
                <c:pt idx="21">
                  <c:v>Hourly rate - supervisors/managers +/- 30%</c:v>
                </c:pt>
              </c:strCache>
            </c:strRef>
          </c:cat>
          <c:val>
            <c:numRef>
              <c:f>[0]!Tornado_chart_high</c:f>
              <c:numCache>
                <c:formatCode>#,##0.0</c:formatCode>
                <c:ptCount val="15"/>
                <c:pt idx="0">
                  <c:v>103.05294999999998</c:v>
                </c:pt>
                <c:pt idx="1">
                  <c:v>63.79746153846154</c:v>
                </c:pt>
                <c:pt idx="2">
                  <c:v>101.12794999999998</c:v>
                </c:pt>
                <c:pt idx="3">
                  <c:v>96.452125000000009</c:v>
                </c:pt>
                <c:pt idx="4">
                  <c:v>89.714624999999998</c:v>
                </c:pt>
                <c:pt idx="5">
                  <c:v>86.851187499999995</c:v>
                </c:pt>
                <c:pt idx="6">
                  <c:v>84.324625000000012</c:v>
                </c:pt>
                <c:pt idx="7">
                  <c:v>76.452115384615382</c:v>
                </c:pt>
                <c:pt idx="8">
                  <c:v>82.640249999999995</c:v>
                </c:pt>
                <c:pt idx="9">
                  <c:v>82.640249999999995</c:v>
                </c:pt>
                <c:pt idx="10">
                  <c:v>82.640249999999995</c:v>
                </c:pt>
                <c:pt idx="11">
                  <c:v>81.966499999999996</c:v>
                </c:pt>
                <c:pt idx="12">
                  <c:v>77.60846153846154</c:v>
                </c:pt>
                <c:pt idx="13">
                  <c:v>80.241700000000009</c:v>
                </c:pt>
                <c:pt idx="14">
                  <c:v>79.849000000000004</c:v>
                </c:pt>
              </c:numCache>
            </c:numRef>
          </c:val>
          <c:extLst>
            <c:ext xmlns:c16="http://schemas.microsoft.com/office/drawing/2014/chart" uri="{C3380CC4-5D6E-409C-BE32-E72D297353CC}">
              <c16:uniqueId val="{00000001-0722-4622-BAC9-7779B9C5408A}"/>
            </c:ext>
          </c:extLst>
        </c:ser>
        <c:ser>
          <c:idx val="2"/>
          <c:order val="1"/>
          <c:tx>
            <c:v>Decrease in input value</c:v>
          </c:tx>
          <c:spPr>
            <a:solidFill>
              <a:srgbClr val="5B9BD5">
                <a:lumMod val="40000"/>
                <a:lumOff val="60000"/>
              </a:srgbClr>
            </a:solidFill>
          </c:spPr>
          <c:invertIfNegative val="0"/>
          <c:cat>
            <c:strRef>
              <c:f>'Tornado Setup'!$J$7:$J$28</c:f>
              <c:strCache>
                <c:ptCount val="22"/>
                <c:pt idx="0">
                  <c:v>New cases per day +/- 30%</c:v>
                </c:pt>
                <c:pt idx="1">
                  <c:v>Productive hours per employee per week +/- 30%</c:v>
                </c:pt>
                <c:pt idx="2">
                  <c:v>Proportion of cases reached +/- 30%</c:v>
                </c:pt>
                <c:pt idx="3">
                  <c:v>Average number of contacts per case +/- 30%</c:v>
                </c:pt>
                <c:pt idx="4">
                  <c:v>Proportion of contacts reached +/- 30%</c:v>
                </c:pt>
                <c:pt idx="5">
                  <c:v>Minutes spent on each contact reached +/- 30%</c:v>
                </c:pt>
                <c:pt idx="6">
                  <c:v>Minutes spent on each case reached +/- 30%</c:v>
                </c:pt>
                <c:pt idx="7">
                  <c:v>Number of cases per resource coordinator per day  +/- 30%</c:v>
                </c:pt>
                <c:pt idx="8">
                  <c:v>Number of follow-up calls +/- 30%</c:v>
                </c:pt>
                <c:pt idx="9">
                  <c:v>Minutes spent on each contact not reached +/- 30%</c:v>
                </c:pt>
                <c:pt idx="10">
                  <c:v>Minutes spent on each follow-up call +/- 30%</c:v>
                </c:pt>
                <c:pt idx="11">
                  <c:v>Proportion of contacts requesting coordinators +/- 30%</c:v>
                </c:pt>
                <c:pt idx="12">
                  <c:v>Number of staff per supervisor/manager +/- 30%</c:v>
                </c:pt>
                <c:pt idx="13">
                  <c:v>Proportion of cases requesting coodinators +/- 30%</c:v>
                </c:pt>
                <c:pt idx="14">
                  <c:v>Minutes spent on each case not reached +/- 30%</c:v>
                </c:pt>
                <c:pt idx="15">
                  <c:v>Minutes spent on each follow-up text message +/- 30%</c:v>
                </c:pt>
                <c:pt idx="16">
                  <c:v>Number of follow-up text messages +/- 30%</c:v>
                </c:pt>
                <c:pt idx="17">
                  <c:v>#REF!</c:v>
                </c:pt>
                <c:pt idx="18">
                  <c:v>Hourly rate - case investigator +/- 30%</c:v>
                </c:pt>
                <c:pt idx="19">
                  <c:v>Hourly rate - contact tracer +/- 30%</c:v>
                </c:pt>
                <c:pt idx="20">
                  <c:v>Hourly rate - resource coordinator +/- 30%</c:v>
                </c:pt>
                <c:pt idx="21">
                  <c:v>Hourly rate - supervisors/managers +/- 30%</c:v>
                </c:pt>
              </c:strCache>
            </c:strRef>
          </c:cat>
          <c:val>
            <c:numRef>
              <c:f>[0]!Tornado_chart_low</c:f>
              <c:numCache>
                <c:formatCode>#,##0.0</c:formatCode>
                <c:ptCount val="15"/>
                <c:pt idx="0">
                  <c:v>55.490050000000004</c:v>
                </c:pt>
                <c:pt idx="1">
                  <c:v>108.00900000000001</c:v>
                </c:pt>
                <c:pt idx="2">
                  <c:v>57.415050000000001</c:v>
                </c:pt>
                <c:pt idx="3">
                  <c:v>62.090875000000004</c:v>
                </c:pt>
                <c:pt idx="4">
                  <c:v>68.828374999999994</c:v>
                </c:pt>
                <c:pt idx="5">
                  <c:v>71.691812499999997</c:v>
                </c:pt>
                <c:pt idx="6">
                  <c:v>74.218374999999995</c:v>
                </c:pt>
                <c:pt idx="7">
                  <c:v>84.507500000000007</c:v>
                </c:pt>
                <c:pt idx="8">
                  <c:v>75.902749999999997</c:v>
                </c:pt>
                <c:pt idx="9">
                  <c:v>75.902749999999997</c:v>
                </c:pt>
                <c:pt idx="10">
                  <c:v>75.902749999999997</c:v>
                </c:pt>
                <c:pt idx="11">
                  <c:v>76.57650000000001</c:v>
                </c:pt>
                <c:pt idx="12">
                  <c:v>82.36</c:v>
                </c:pt>
                <c:pt idx="13">
                  <c:v>78.301300000000012</c:v>
                </c:pt>
                <c:pt idx="14">
                  <c:v>78.694000000000003</c:v>
                </c:pt>
              </c:numCache>
            </c:numRef>
          </c:val>
          <c:extLst>
            <c:ext xmlns:c16="http://schemas.microsoft.com/office/drawing/2014/chart" uri="{C3380CC4-5D6E-409C-BE32-E72D297353CC}">
              <c16:uniqueId val="{00000002-0722-4622-BAC9-7779B9C5408A}"/>
            </c:ext>
          </c:extLst>
        </c:ser>
        <c:dLbls>
          <c:showLegendKey val="0"/>
          <c:showVal val="0"/>
          <c:showCatName val="0"/>
          <c:showSerName val="0"/>
          <c:showPercent val="0"/>
          <c:showBubbleSize val="0"/>
        </c:dLbls>
        <c:gapWidth val="50"/>
        <c:overlap val="100"/>
        <c:axId val="268534144"/>
        <c:axId val="268535680"/>
      </c:barChart>
      <c:catAx>
        <c:axId val="268534144"/>
        <c:scaling>
          <c:orientation val="maxMin"/>
        </c:scaling>
        <c:delete val="0"/>
        <c:axPos val="l"/>
        <c:numFmt formatCode="General" sourceLinked="1"/>
        <c:majorTickMark val="none"/>
        <c:minorTickMark val="none"/>
        <c:tickLblPos val="low"/>
        <c:txPr>
          <a:bodyPr/>
          <a:lstStyle/>
          <a:p>
            <a:pPr>
              <a:defRPr sz="1200"/>
            </a:pPr>
            <a:endParaRPr lang="en-US"/>
          </a:p>
        </c:txPr>
        <c:crossAx val="268535680"/>
        <c:crossesAt val="79.3"/>
        <c:auto val="1"/>
        <c:lblAlgn val="ctr"/>
        <c:lblOffset val="100"/>
        <c:noMultiLvlLbl val="0"/>
      </c:catAx>
      <c:valAx>
        <c:axId val="268535680"/>
        <c:scaling>
          <c:orientation val="minMax"/>
        </c:scaling>
        <c:delete val="0"/>
        <c:axPos val="t"/>
        <c:numFmt formatCode="#,##0.0" sourceLinked="1"/>
        <c:majorTickMark val="out"/>
        <c:minorTickMark val="none"/>
        <c:tickLblPos val="nextTo"/>
        <c:spPr>
          <a:ln>
            <a:solidFill>
              <a:srgbClr val="000000"/>
            </a:solidFill>
          </a:ln>
        </c:spPr>
        <c:txPr>
          <a:bodyPr/>
          <a:lstStyle/>
          <a:p>
            <a:pPr>
              <a:defRPr sz="900"/>
            </a:pPr>
            <a:endParaRPr lang="en-US"/>
          </a:p>
        </c:txPr>
        <c:crossAx val="268534144"/>
        <c:crosses val="autoZero"/>
        <c:crossBetween val="between"/>
      </c:valAx>
    </c:plotArea>
    <c:legend>
      <c:legendPos val="r"/>
      <c:layout>
        <c:manualLayout>
          <c:xMode val="edge"/>
          <c:yMode val="edge"/>
          <c:x val="0.45943390598902412"/>
          <c:y val="0.92676601918498991"/>
          <c:w val="0.43813791457885948"/>
          <c:h val="4.1388822372158761E-2"/>
        </c:manualLayout>
      </c:layout>
      <c:overlay val="1"/>
      <c:txPr>
        <a:bodyPr/>
        <a:lstStyle/>
        <a:p>
          <a:pPr>
            <a:defRPr sz="900" b="1"/>
          </a:pPr>
          <a:endParaRPr lang="en-US"/>
        </a:p>
      </c:txPr>
    </c:legend>
    <c:plotVisOnly val="1"/>
    <c:dispBlanksAs val="gap"/>
    <c:showDLblsOverMax val="0"/>
  </c:chart>
  <c:spPr>
    <a:ln>
      <a:solidFill>
        <a:sysClr val="windowText" lastClr="000000"/>
      </a:solidFill>
    </a:ln>
  </c:spPr>
  <c:txPr>
    <a:bodyPr/>
    <a:lstStyle/>
    <a:p>
      <a:pPr>
        <a:defRPr sz="10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862591335653698E-2"/>
          <c:y val="0.14328871460207543"/>
          <c:w val="0.86296813072796963"/>
          <c:h val="0.67175920716831949"/>
        </c:manualLayout>
      </c:layout>
      <c:barChart>
        <c:barDir val="col"/>
        <c:grouping val="clustered"/>
        <c:varyColors val="0"/>
        <c:ser>
          <c:idx val="0"/>
          <c:order val="0"/>
          <c:tx>
            <c:strRef>
              <c:f>'Sensitivity Analyses'!$G$58</c:f>
              <c:strCache>
                <c:ptCount val="1"/>
                <c:pt idx="0">
                  <c:v>Number of case investigators needed</c:v>
                </c:pt>
              </c:strCache>
            </c:strRef>
          </c:tx>
          <c:spPr>
            <a:solidFill>
              <a:schemeClr val="accent5">
                <a:lumMod val="40000"/>
                <a:lumOff val="60000"/>
              </a:schemeClr>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Analyses'!$G$51:$G$55</c:f>
              <c:numCache>
                <c:formatCode>#,##0.0</c:formatCode>
                <c:ptCount val="5"/>
                <c:pt idx="0">
                  <c:v>6.8250000000000002</c:v>
                </c:pt>
                <c:pt idx="1">
                  <c:v>6.8250000000000002</c:v>
                </c:pt>
                <c:pt idx="2">
                  <c:v>6.8250000000000002</c:v>
                </c:pt>
                <c:pt idx="3">
                  <c:v>6.8250000000000002</c:v>
                </c:pt>
                <c:pt idx="4">
                  <c:v>6.8250000000000002</c:v>
                </c:pt>
              </c:numCache>
            </c:numRef>
          </c:val>
          <c:extLst>
            <c:ext xmlns:c16="http://schemas.microsoft.com/office/drawing/2014/chart" uri="{C3380CC4-5D6E-409C-BE32-E72D297353CC}">
              <c16:uniqueId val="{00000000-266E-45ED-BC86-36C8A9A88C8B}"/>
            </c:ext>
          </c:extLst>
        </c:ser>
        <c:ser>
          <c:idx val="1"/>
          <c:order val="1"/>
          <c:tx>
            <c:strRef>
              <c:f>'Sensitivity Analyses'!$G$59</c:f>
              <c:strCache>
                <c:ptCount val="1"/>
                <c:pt idx="0">
                  <c:v>Number of contact tracers needed</c:v>
                </c:pt>
              </c:strCache>
            </c:strRef>
          </c:tx>
          <c:spPr>
            <a:solidFill>
              <a:srgbClr val="9999FF"/>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Analyses'!$H$51:$H$55</c:f>
              <c:numCache>
                <c:formatCode>#,##0.0</c:formatCode>
                <c:ptCount val="5"/>
                <c:pt idx="0">
                  <c:v>7.0233333333333334</c:v>
                </c:pt>
                <c:pt idx="1">
                  <c:v>12.290833333333333</c:v>
                </c:pt>
                <c:pt idx="2">
                  <c:v>17.55833333333333</c:v>
                </c:pt>
                <c:pt idx="3">
                  <c:v>22.825833333333328</c:v>
                </c:pt>
                <c:pt idx="4">
                  <c:v>28.093333333333334</c:v>
                </c:pt>
              </c:numCache>
            </c:numRef>
          </c:val>
          <c:extLst>
            <c:ext xmlns:c16="http://schemas.microsoft.com/office/drawing/2014/chart" uri="{C3380CC4-5D6E-409C-BE32-E72D297353CC}">
              <c16:uniqueId val="{00000001-266E-45ED-BC86-36C8A9A88C8B}"/>
            </c:ext>
          </c:extLst>
        </c:ser>
        <c:dLbls>
          <c:showLegendKey val="0"/>
          <c:showVal val="0"/>
          <c:showCatName val="0"/>
          <c:showSerName val="0"/>
          <c:showPercent val="0"/>
          <c:showBubbleSize val="0"/>
        </c:dLbls>
        <c:gapWidth val="219"/>
        <c:overlap val="-27"/>
        <c:axId val="863640456"/>
        <c:axId val="863642096"/>
      </c:barChart>
      <c:catAx>
        <c:axId val="863640456"/>
        <c:scaling>
          <c:orientation val="minMax"/>
        </c:scaling>
        <c:delete val="0"/>
        <c:axPos val="b"/>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Contacts</a:t>
                </a:r>
                <a:r>
                  <a:rPr lang="en-US" b="1" baseline="0"/>
                  <a:t> per case</a:t>
                </a:r>
                <a:endParaRPr lang="en-US" b="1"/>
              </a:p>
            </c:rich>
          </c:tx>
          <c:layout>
            <c:manualLayout>
              <c:xMode val="edge"/>
              <c:yMode val="edge"/>
              <c:x val="0.40538765927161147"/>
              <c:y val="0.92568487484299655"/>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quot; contacts per case&quot;"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2096"/>
        <c:crosses val="autoZero"/>
        <c:auto val="1"/>
        <c:lblAlgn val="ctr"/>
        <c:lblOffset val="100"/>
        <c:noMultiLvlLbl val="0"/>
      </c:catAx>
      <c:valAx>
        <c:axId val="863642096"/>
        <c:scaling>
          <c:orientation val="minMax"/>
        </c:scaling>
        <c:delete val="0"/>
        <c:axPos val="l"/>
        <c:title>
          <c:tx>
            <c:rich>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Number of</a:t>
                </a:r>
                <a:r>
                  <a:rPr lang="en-US" b="1" baseline="0"/>
                  <a:t> staff</a:t>
                </a:r>
                <a:endParaRPr lang="en-US" b="1"/>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0456"/>
        <c:crosses val="autoZero"/>
        <c:crossBetween val="between"/>
      </c:valAx>
      <c:spPr>
        <a:noFill/>
        <a:ln>
          <a:noFill/>
        </a:ln>
        <a:effectLst/>
      </c:spPr>
    </c:plotArea>
    <c:legend>
      <c:legendPos val="r"/>
      <c:layout>
        <c:manualLayout>
          <c:xMode val="edge"/>
          <c:yMode val="edge"/>
          <c:x val="0.10816241136052415"/>
          <c:y val="0.18696746485140159"/>
          <c:w val="0.23248228064957105"/>
          <c:h val="0.239043653208627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862591335653698E-2"/>
          <c:y val="0.14328871460207543"/>
          <c:w val="0.86296813072796963"/>
          <c:h val="0.67175920716831949"/>
        </c:manualLayout>
      </c:layout>
      <c:barChart>
        <c:barDir val="col"/>
        <c:grouping val="clustered"/>
        <c:varyColors val="0"/>
        <c:ser>
          <c:idx val="0"/>
          <c:order val="0"/>
          <c:tx>
            <c:strRef>
              <c:f>'Sensitivity Analyses'!$G$58</c:f>
              <c:strCache>
                <c:ptCount val="1"/>
                <c:pt idx="0">
                  <c:v>Number of case investigators needed</c:v>
                </c:pt>
              </c:strCache>
            </c:strRef>
          </c:tx>
          <c:spPr>
            <a:solidFill>
              <a:schemeClr val="accent5">
                <a:lumMod val="40000"/>
                <a:lumOff val="60000"/>
              </a:schemeClr>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Analyses'!$I$51:$I$55</c:f>
              <c:numCache>
                <c:formatCode>#,##0.0</c:formatCode>
                <c:ptCount val="5"/>
                <c:pt idx="0">
                  <c:v>11.94375</c:v>
                </c:pt>
                <c:pt idx="1">
                  <c:v>11.94375</c:v>
                </c:pt>
                <c:pt idx="2">
                  <c:v>11.94375</c:v>
                </c:pt>
                <c:pt idx="3">
                  <c:v>11.94375</c:v>
                </c:pt>
                <c:pt idx="4">
                  <c:v>11.94375</c:v>
                </c:pt>
              </c:numCache>
            </c:numRef>
          </c:val>
          <c:extLst>
            <c:ext xmlns:c16="http://schemas.microsoft.com/office/drawing/2014/chart" uri="{C3380CC4-5D6E-409C-BE32-E72D297353CC}">
              <c16:uniqueId val="{00000000-4297-41ED-A590-E484530D08F3}"/>
            </c:ext>
          </c:extLst>
        </c:ser>
        <c:ser>
          <c:idx val="1"/>
          <c:order val="1"/>
          <c:tx>
            <c:strRef>
              <c:f>'Sensitivity Analyses'!$G$59</c:f>
              <c:strCache>
                <c:ptCount val="1"/>
                <c:pt idx="0">
                  <c:v>Number of contact tracers needed</c:v>
                </c:pt>
              </c:strCache>
            </c:strRef>
          </c:tx>
          <c:spPr>
            <a:solidFill>
              <a:srgbClr val="9999FF"/>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Analyses'!$J$51:$J$55</c:f>
              <c:numCache>
                <c:formatCode>#,##0.0</c:formatCode>
                <c:ptCount val="5"/>
                <c:pt idx="0">
                  <c:v>12.290833333333333</c:v>
                </c:pt>
                <c:pt idx="1">
                  <c:v>21.508958333333332</c:v>
                </c:pt>
                <c:pt idx="2">
                  <c:v>30.727083333333336</c:v>
                </c:pt>
                <c:pt idx="3">
                  <c:v>39.945208333333333</c:v>
                </c:pt>
                <c:pt idx="4">
                  <c:v>49.163333333333334</c:v>
                </c:pt>
              </c:numCache>
            </c:numRef>
          </c:val>
          <c:extLst>
            <c:ext xmlns:c16="http://schemas.microsoft.com/office/drawing/2014/chart" uri="{C3380CC4-5D6E-409C-BE32-E72D297353CC}">
              <c16:uniqueId val="{00000001-4297-41ED-A590-E484530D08F3}"/>
            </c:ext>
          </c:extLst>
        </c:ser>
        <c:dLbls>
          <c:showLegendKey val="0"/>
          <c:showVal val="0"/>
          <c:showCatName val="0"/>
          <c:showSerName val="0"/>
          <c:showPercent val="0"/>
          <c:showBubbleSize val="0"/>
        </c:dLbls>
        <c:gapWidth val="219"/>
        <c:overlap val="-27"/>
        <c:axId val="863640456"/>
        <c:axId val="863642096"/>
      </c:barChart>
      <c:catAx>
        <c:axId val="863640456"/>
        <c:scaling>
          <c:orientation val="minMax"/>
        </c:scaling>
        <c:delete val="0"/>
        <c:axPos val="b"/>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Contacts</a:t>
                </a:r>
                <a:r>
                  <a:rPr lang="en-US" b="1" baseline="0"/>
                  <a:t> per case</a:t>
                </a:r>
                <a:endParaRPr lang="en-US" b="1"/>
              </a:p>
            </c:rich>
          </c:tx>
          <c:layout>
            <c:manualLayout>
              <c:xMode val="edge"/>
              <c:yMode val="edge"/>
              <c:x val="0.40538765927161147"/>
              <c:y val="0.92568487484299655"/>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quot; contacts per case&quot;"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2096"/>
        <c:crosses val="autoZero"/>
        <c:auto val="1"/>
        <c:lblAlgn val="ctr"/>
        <c:lblOffset val="100"/>
        <c:noMultiLvlLbl val="0"/>
      </c:catAx>
      <c:valAx>
        <c:axId val="863642096"/>
        <c:scaling>
          <c:orientation val="minMax"/>
        </c:scaling>
        <c:delete val="0"/>
        <c:axPos val="l"/>
        <c:title>
          <c:tx>
            <c:rich>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Number of</a:t>
                </a:r>
                <a:r>
                  <a:rPr lang="en-US" b="1" baseline="0"/>
                  <a:t> staff</a:t>
                </a:r>
                <a:endParaRPr lang="en-US" b="1"/>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0456"/>
        <c:crosses val="autoZero"/>
        <c:crossBetween val="between"/>
      </c:valAx>
      <c:spPr>
        <a:noFill/>
        <a:ln>
          <a:noFill/>
        </a:ln>
        <a:effectLst/>
      </c:spPr>
    </c:plotArea>
    <c:legend>
      <c:legendPos val="r"/>
      <c:layout>
        <c:manualLayout>
          <c:xMode val="edge"/>
          <c:yMode val="edge"/>
          <c:x val="0.10816241136052415"/>
          <c:y val="0.18696746485140159"/>
          <c:w val="0.23248228064957105"/>
          <c:h val="0.239043653208627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862591335653698E-2"/>
          <c:y val="0.14328871460207543"/>
          <c:w val="0.86296813072796963"/>
          <c:h val="0.67175920716831949"/>
        </c:manualLayout>
      </c:layout>
      <c:barChart>
        <c:barDir val="col"/>
        <c:grouping val="clustered"/>
        <c:varyColors val="0"/>
        <c:ser>
          <c:idx val="0"/>
          <c:order val="0"/>
          <c:tx>
            <c:strRef>
              <c:f>'Sensitivity Analyses'!$G$58</c:f>
              <c:strCache>
                <c:ptCount val="1"/>
                <c:pt idx="0">
                  <c:v>Number of case investigators needed</c:v>
                </c:pt>
              </c:strCache>
            </c:strRef>
          </c:tx>
          <c:spPr>
            <a:solidFill>
              <a:schemeClr val="accent5">
                <a:lumMod val="40000"/>
                <a:lumOff val="60000"/>
              </a:schemeClr>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Analyses'!$K$51:$K$55</c:f>
              <c:numCache>
                <c:formatCode>#,##0.0</c:formatCode>
                <c:ptCount val="5"/>
                <c:pt idx="0">
                  <c:v>17.0625</c:v>
                </c:pt>
                <c:pt idx="1">
                  <c:v>17.0625</c:v>
                </c:pt>
                <c:pt idx="2">
                  <c:v>17.0625</c:v>
                </c:pt>
                <c:pt idx="3">
                  <c:v>17.0625</c:v>
                </c:pt>
                <c:pt idx="4">
                  <c:v>17.0625</c:v>
                </c:pt>
              </c:numCache>
            </c:numRef>
          </c:val>
          <c:extLst>
            <c:ext xmlns:c16="http://schemas.microsoft.com/office/drawing/2014/chart" uri="{C3380CC4-5D6E-409C-BE32-E72D297353CC}">
              <c16:uniqueId val="{00000000-FD9A-435A-84CE-B3BA0BD8E722}"/>
            </c:ext>
          </c:extLst>
        </c:ser>
        <c:ser>
          <c:idx val="1"/>
          <c:order val="1"/>
          <c:tx>
            <c:strRef>
              <c:f>'Sensitivity Analyses'!$G$59</c:f>
              <c:strCache>
                <c:ptCount val="1"/>
                <c:pt idx="0">
                  <c:v>Number of contact tracers needed</c:v>
                </c:pt>
              </c:strCache>
            </c:strRef>
          </c:tx>
          <c:spPr>
            <a:solidFill>
              <a:srgbClr val="9999FF"/>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Analyses'!$L$51:$L$55</c:f>
              <c:numCache>
                <c:formatCode>#,##0.0</c:formatCode>
                <c:ptCount val="5"/>
                <c:pt idx="0">
                  <c:v>17.55833333333333</c:v>
                </c:pt>
                <c:pt idx="1">
                  <c:v>30.727083333333336</c:v>
                </c:pt>
                <c:pt idx="2">
                  <c:v>43.895833333333336</c:v>
                </c:pt>
                <c:pt idx="3">
                  <c:v>57.064583333333324</c:v>
                </c:pt>
                <c:pt idx="4">
                  <c:v>70.23333333333332</c:v>
                </c:pt>
              </c:numCache>
            </c:numRef>
          </c:val>
          <c:extLst>
            <c:ext xmlns:c16="http://schemas.microsoft.com/office/drawing/2014/chart" uri="{C3380CC4-5D6E-409C-BE32-E72D297353CC}">
              <c16:uniqueId val="{00000001-FD9A-435A-84CE-B3BA0BD8E722}"/>
            </c:ext>
          </c:extLst>
        </c:ser>
        <c:dLbls>
          <c:showLegendKey val="0"/>
          <c:showVal val="0"/>
          <c:showCatName val="0"/>
          <c:showSerName val="0"/>
          <c:showPercent val="0"/>
          <c:showBubbleSize val="0"/>
        </c:dLbls>
        <c:gapWidth val="219"/>
        <c:overlap val="-27"/>
        <c:axId val="863640456"/>
        <c:axId val="863642096"/>
      </c:barChart>
      <c:catAx>
        <c:axId val="863640456"/>
        <c:scaling>
          <c:orientation val="minMax"/>
        </c:scaling>
        <c:delete val="0"/>
        <c:axPos val="b"/>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Contacts</a:t>
                </a:r>
                <a:r>
                  <a:rPr lang="en-US" b="1" baseline="0"/>
                  <a:t> per case</a:t>
                </a:r>
                <a:endParaRPr lang="en-US" b="1"/>
              </a:p>
            </c:rich>
          </c:tx>
          <c:layout>
            <c:manualLayout>
              <c:xMode val="edge"/>
              <c:yMode val="edge"/>
              <c:x val="0.40538765927161147"/>
              <c:y val="0.92568487484299655"/>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quot; contacts per case&quot;"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2096"/>
        <c:crosses val="autoZero"/>
        <c:auto val="1"/>
        <c:lblAlgn val="ctr"/>
        <c:lblOffset val="100"/>
        <c:noMultiLvlLbl val="0"/>
      </c:catAx>
      <c:valAx>
        <c:axId val="863642096"/>
        <c:scaling>
          <c:orientation val="minMax"/>
        </c:scaling>
        <c:delete val="0"/>
        <c:axPos val="l"/>
        <c:title>
          <c:tx>
            <c:rich>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Number of</a:t>
                </a:r>
                <a:r>
                  <a:rPr lang="en-US" b="1" baseline="0"/>
                  <a:t> staff</a:t>
                </a:r>
                <a:endParaRPr lang="en-US" b="1"/>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0456"/>
        <c:crosses val="autoZero"/>
        <c:crossBetween val="between"/>
      </c:valAx>
      <c:spPr>
        <a:noFill/>
        <a:ln>
          <a:noFill/>
        </a:ln>
        <a:effectLst/>
      </c:spPr>
    </c:plotArea>
    <c:legend>
      <c:legendPos val="r"/>
      <c:layout>
        <c:manualLayout>
          <c:xMode val="edge"/>
          <c:yMode val="edge"/>
          <c:x val="0.10816241136052415"/>
          <c:y val="0.18696746485140159"/>
          <c:w val="0.23248228064957105"/>
          <c:h val="0.239043653208627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862591335653698E-2"/>
          <c:y val="0.14328871460207543"/>
          <c:w val="0.86296813072796963"/>
          <c:h val="0.67175920716831949"/>
        </c:manualLayout>
      </c:layout>
      <c:barChart>
        <c:barDir val="col"/>
        <c:grouping val="clustered"/>
        <c:varyColors val="0"/>
        <c:ser>
          <c:idx val="0"/>
          <c:order val="0"/>
          <c:tx>
            <c:strRef>
              <c:f>'Sensitivity Analyses'!$G$58</c:f>
              <c:strCache>
                <c:ptCount val="1"/>
                <c:pt idx="0">
                  <c:v>Number of case investigators needed</c:v>
                </c:pt>
              </c:strCache>
            </c:strRef>
          </c:tx>
          <c:spPr>
            <a:solidFill>
              <a:schemeClr val="accent5">
                <a:lumMod val="40000"/>
                <a:lumOff val="60000"/>
              </a:schemeClr>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Analyses'!$M$51:$M$55</c:f>
              <c:numCache>
                <c:formatCode>#,##0.0</c:formatCode>
                <c:ptCount val="5"/>
                <c:pt idx="0">
                  <c:v>22.181249999999999</c:v>
                </c:pt>
                <c:pt idx="1">
                  <c:v>22.181249999999999</c:v>
                </c:pt>
                <c:pt idx="2">
                  <c:v>22.181249999999999</c:v>
                </c:pt>
                <c:pt idx="3">
                  <c:v>22.181249999999999</c:v>
                </c:pt>
                <c:pt idx="4">
                  <c:v>22.181249999999999</c:v>
                </c:pt>
              </c:numCache>
            </c:numRef>
          </c:val>
          <c:extLst>
            <c:ext xmlns:c16="http://schemas.microsoft.com/office/drawing/2014/chart" uri="{C3380CC4-5D6E-409C-BE32-E72D297353CC}">
              <c16:uniqueId val="{00000000-DC25-42DA-AD1D-579157605B90}"/>
            </c:ext>
          </c:extLst>
        </c:ser>
        <c:ser>
          <c:idx val="1"/>
          <c:order val="1"/>
          <c:tx>
            <c:strRef>
              <c:f>'Sensitivity Analyses'!$G$59</c:f>
              <c:strCache>
                <c:ptCount val="1"/>
                <c:pt idx="0">
                  <c:v>Number of contact tracers needed</c:v>
                </c:pt>
              </c:strCache>
            </c:strRef>
          </c:tx>
          <c:spPr>
            <a:solidFill>
              <a:srgbClr val="9999FF"/>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Analyses'!$N$51:$N$55</c:f>
              <c:numCache>
                <c:formatCode>#,##0.0</c:formatCode>
                <c:ptCount val="5"/>
                <c:pt idx="0">
                  <c:v>22.825833333333328</c:v>
                </c:pt>
                <c:pt idx="1">
                  <c:v>39.945208333333333</c:v>
                </c:pt>
                <c:pt idx="2">
                  <c:v>57.064583333333324</c:v>
                </c:pt>
                <c:pt idx="3">
                  <c:v>74.183958333333337</c:v>
                </c:pt>
                <c:pt idx="4">
                  <c:v>91.303333333333313</c:v>
                </c:pt>
              </c:numCache>
            </c:numRef>
          </c:val>
          <c:extLst>
            <c:ext xmlns:c16="http://schemas.microsoft.com/office/drawing/2014/chart" uri="{C3380CC4-5D6E-409C-BE32-E72D297353CC}">
              <c16:uniqueId val="{00000001-DC25-42DA-AD1D-579157605B90}"/>
            </c:ext>
          </c:extLst>
        </c:ser>
        <c:dLbls>
          <c:showLegendKey val="0"/>
          <c:showVal val="0"/>
          <c:showCatName val="0"/>
          <c:showSerName val="0"/>
          <c:showPercent val="0"/>
          <c:showBubbleSize val="0"/>
        </c:dLbls>
        <c:gapWidth val="219"/>
        <c:overlap val="-27"/>
        <c:axId val="863640456"/>
        <c:axId val="863642096"/>
      </c:barChart>
      <c:catAx>
        <c:axId val="863640456"/>
        <c:scaling>
          <c:orientation val="minMax"/>
        </c:scaling>
        <c:delete val="0"/>
        <c:axPos val="b"/>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Contacts</a:t>
                </a:r>
                <a:r>
                  <a:rPr lang="en-US" b="1" baseline="0"/>
                  <a:t> per case</a:t>
                </a:r>
                <a:endParaRPr lang="en-US" b="1"/>
              </a:p>
            </c:rich>
          </c:tx>
          <c:layout>
            <c:manualLayout>
              <c:xMode val="edge"/>
              <c:yMode val="edge"/>
              <c:x val="0.40538765927161147"/>
              <c:y val="0.92568487484299655"/>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quot; contacts per case&quot;"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2096"/>
        <c:crosses val="autoZero"/>
        <c:auto val="1"/>
        <c:lblAlgn val="ctr"/>
        <c:lblOffset val="100"/>
        <c:noMultiLvlLbl val="0"/>
      </c:catAx>
      <c:valAx>
        <c:axId val="863642096"/>
        <c:scaling>
          <c:orientation val="minMax"/>
        </c:scaling>
        <c:delete val="0"/>
        <c:axPos val="l"/>
        <c:title>
          <c:tx>
            <c:rich>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Number of</a:t>
                </a:r>
                <a:r>
                  <a:rPr lang="en-US" b="1" baseline="0"/>
                  <a:t> staff</a:t>
                </a:r>
                <a:endParaRPr lang="en-US" b="1"/>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0456"/>
        <c:crosses val="autoZero"/>
        <c:crossBetween val="between"/>
      </c:valAx>
      <c:spPr>
        <a:noFill/>
        <a:ln>
          <a:noFill/>
        </a:ln>
        <a:effectLst/>
      </c:spPr>
    </c:plotArea>
    <c:legend>
      <c:legendPos val="r"/>
      <c:layout>
        <c:manualLayout>
          <c:xMode val="edge"/>
          <c:yMode val="edge"/>
          <c:x val="0.10816241136052415"/>
          <c:y val="0.18696746485140159"/>
          <c:w val="0.23248228064957105"/>
          <c:h val="0.239043653208627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862591335653698E-2"/>
          <c:y val="0.14328871460207543"/>
          <c:w val="0.86296813072796963"/>
          <c:h val="0.67175920716831949"/>
        </c:manualLayout>
      </c:layout>
      <c:barChart>
        <c:barDir val="col"/>
        <c:grouping val="clustered"/>
        <c:varyColors val="0"/>
        <c:ser>
          <c:idx val="0"/>
          <c:order val="0"/>
          <c:tx>
            <c:strRef>
              <c:f>'Sensitivity Analyses'!$G$58</c:f>
              <c:strCache>
                <c:ptCount val="1"/>
                <c:pt idx="0">
                  <c:v>Number of case investigators needed</c:v>
                </c:pt>
              </c:strCache>
            </c:strRef>
          </c:tx>
          <c:spPr>
            <a:solidFill>
              <a:schemeClr val="accent5">
                <a:lumMod val="40000"/>
                <a:lumOff val="60000"/>
              </a:schemeClr>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Analyses'!$O$51:$O$55</c:f>
              <c:numCache>
                <c:formatCode>#,##0.0</c:formatCode>
                <c:ptCount val="5"/>
                <c:pt idx="0">
                  <c:v>27.3</c:v>
                </c:pt>
                <c:pt idx="1">
                  <c:v>27.3</c:v>
                </c:pt>
                <c:pt idx="2">
                  <c:v>27.3</c:v>
                </c:pt>
                <c:pt idx="3">
                  <c:v>27.3</c:v>
                </c:pt>
                <c:pt idx="4">
                  <c:v>27.3</c:v>
                </c:pt>
              </c:numCache>
            </c:numRef>
          </c:val>
          <c:extLst>
            <c:ext xmlns:c16="http://schemas.microsoft.com/office/drawing/2014/chart" uri="{C3380CC4-5D6E-409C-BE32-E72D297353CC}">
              <c16:uniqueId val="{00000000-2966-4B33-8CCE-261F29A059CC}"/>
            </c:ext>
          </c:extLst>
        </c:ser>
        <c:ser>
          <c:idx val="1"/>
          <c:order val="1"/>
          <c:tx>
            <c:strRef>
              <c:f>'Sensitivity Analyses'!$G$59</c:f>
              <c:strCache>
                <c:ptCount val="1"/>
                <c:pt idx="0">
                  <c:v>Number of contact tracers needed</c:v>
                </c:pt>
              </c:strCache>
            </c:strRef>
          </c:tx>
          <c:spPr>
            <a:solidFill>
              <a:srgbClr val="9999FF"/>
            </a:solidFill>
            <a:ln>
              <a:noFill/>
            </a:ln>
            <a:effectLst/>
          </c:spPr>
          <c:invertIfNegative val="0"/>
          <c:cat>
            <c:numRef>
              <c:f>'Sensitivity Analyses'!$F$51:$F$55</c:f>
              <c:numCache>
                <c:formatCode>0.0" contacts per case"</c:formatCode>
                <c:ptCount val="5"/>
                <c:pt idx="0">
                  <c:v>2</c:v>
                </c:pt>
                <c:pt idx="1">
                  <c:v>3.5</c:v>
                </c:pt>
                <c:pt idx="2">
                  <c:v>5</c:v>
                </c:pt>
                <c:pt idx="3">
                  <c:v>6.5</c:v>
                </c:pt>
                <c:pt idx="4">
                  <c:v>8</c:v>
                </c:pt>
              </c:numCache>
            </c:numRef>
          </c:cat>
          <c:val>
            <c:numRef>
              <c:f>'Sensitivity Analyses'!$P$51:$P$55</c:f>
              <c:numCache>
                <c:formatCode>#,##0.0</c:formatCode>
                <c:ptCount val="5"/>
                <c:pt idx="0">
                  <c:v>28.093333333333334</c:v>
                </c:pt>
                <c:pt idx="1">
                  <c:v>49.163333333333334</c:v>
                </c:pt>
                <c:pt idx="2">
                  <c:v>70.23333333333332</c:v>
                </c:pt>
                <c:pt idx="3">
                  <c:v>91.303333333333313</c:v>
                </c:pt>
                <c:pt idx="4">
                  <c:v>112.37333333333333</c:v>
                </c:pt>
              </c:numCache>
            </c:numRef>
          </c:val>
          <c:extLst>
            <c:ext xmlns:c16="http://schemas.microsoft.com/office/drawing/2014/chart" uri="{C3380CC4-5D6E-409C-BE32-E72D297353CC}">
              <c16:uniqueId val="{00000001-2966-4B33-8CCE-261F29A059CC}"/>
            </c:ext>
          </c:extLst>
        </c:ser>
        <c:dLbls>
          <c:showLegendKey val="0"/>
          <c:showVal val="0"/>
          <c:showCatName val="0"/>
          <c:showSerName val="0"/>
          <c:showPercent val="0"/>
          <c:showBubbleSize val="0"/>
        </c:dLbls>
        <c:gapWidth val="219"/>
        <c:overlap val="-27"/>
        <c:axId val="863640456"/>
        <c:axId val="863642096"/>
      </c:barChart>
      <c:catAx>
        <c:axId val="863640456"/>
        <c:scaling>
          <c:orientation val="minMax"/>
        </c:scaling>
        <c:delete val="0"/>
        <c:axPos val="b"/>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Contacts</a:t>
                </a:r>
                <a:r>
                  <a:rPr lang="en-US" b="1" baseline="0"/>
                  <a:t> per case</a:t>
                </a:r>
                <a:endParaRPr lang="en-US" b="1"/>
              </a:p>
            </c:rich>
          </c:tx>
          <c:layout>
            <c:manualLayout>
              <c:xMode val="edge"/>
              <c:yMode val="edge"/>
              <c:x val="0.40538765927161147"/>
              <c:y val="0.92568487484299655"/>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quot; contacts per case&quot;"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2096"/>
        <c:crosses val="autoZero"/>
        <c:auto val="1"/>
        <c:lblAlgn val="ctr"/>
        <c:lblOffset val="100"/>
        <c:noMultiLvlLbl val="0"/>
      </c:catAx>
      <c:valAx>
        <c:axId val="863642096"/>
        <c:scaling>
          <c:orientation val="minMax"/>
        </c:scaling>
        <c:delete val="0"/>
        <c:axPos val="l"/>
        <c:title>
          <c:tx>
            <c:rich>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Number of</a:t>
                </a:r>
                <a:r>
                  <a:rPr lang="en-US" b="1" baseline="0"/>
                  <a:t> staff</a:t>
                </a:r>
                <a:endParaRPr lang="en-US" b="1"/>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640456"/>
        <c:crosses val="autoZero"/>
        <c:crossBetween val="between"/>
      </c:valAx>
      <c:spPr>
        <a:noFill/>
        <a:ln>
          <a:noFill/>
        </a:ln>
        <a:effectLst/>
      </c:spPr>
    </c:plotArea>
    <c:legend>
      <c:legendPos val="r"/>
      <c:layout>
        <c:manualLayout>
          <c:xMode val="edge"/>
          <c:yMode val="edge"/>
          <c:x val="0.10816241136052415"/>
          <c:y val="0.18696746485140159"/>
          <c:w val="0.23248228064957105"/>
          <c:h val="0.23904365320862755"/>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Drop" dropLines="4" dropStyle="combo" dx="16" fmlaLink="DSA_tornado_index" fmlaRange="option_DSA_tornado"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4</xdr:col>
      <xdr:colOff>413845</xdr:colOff>
      <xdr:row>11</xdr:row>
      <xdr:rowOff>182572</xdr:rowOff>
    </xdr:from>
    <xdr:to>
      <xdr:col>8</xdr:col>
      <xdr:colOff>170792</xdr:colOff>
      <xdr:row>15</xdr:row>
      <xdr:rowOff>129795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712545" y="1782772"/>
          <a:ext cx="2550947" cy="6584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533400</xdr:colOff>
          <xdr:row>9</xdr:row>
          <xdr:rowOff>38100</xdr:rowOff>
        </xdr:from>
        <xdr:to>
          <xdr:col>12</xdr:col>
          <xdr:colOff>323850</xdr:colOff>
          <xdr:row>15</xdr:row>
          <xdr:rowOff>28575</xdr:rowOff>
        </xdr:to>
        <xdr:sp macro="" textlink="">
          <xdr:nvSpPr>
            <xdr:cNvPr id="108568" name="Button 24" hidden="1">
              <a:extLst>
                <a:ext uri="{63B3BB69-23CF-44E3-9099-C40C66FF867C}">
                  <a14:compatExt spid="_x0000_s10856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200" b="1" i="0" u="none" strike="noStrike" baseline="0">
                  <a:solidFill>
                    <a:srgbClr val="000000"/>
                  </a:solidFill>
                  <a:latin typeface="Calibri"/>
                  <a:cs typeface="Calibri"/>
                </a:rPr>
                <a:t>Update all inputs to default values</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523875</xdr:colOff>
          <xdr:row>6</xdr:row>
          <xdr:rowOff>123825</xdr:rowOff>
        </xdr:from>
        <xdr:to>
          <xdr:col>14</xdr:col>
          <xdr:colOff>123825</xdr:colOff>
          <xdr:row>12</xdr:row>
          <xdr:rowOff>57150</xdr:rowOff>
        </xdr:to>
        <xdr:sp macro="" textlink="">
          <xdr:nvSpPr>
            <xdr:cNvPr id="129025" name="Button 1" hidden="1">
              <a:extLst>
                <a:ext uri="{63B3BB69-23CF-44E3-9099-C40C66FF867C}">
                  <a14:compatExt spid="_x0000_s12902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200" b="1" i="0" u="none" strike="noStrike" baseline="0">
                  <a:solidFill>
                    <a:srgbClr val="000000"/>
                  </a:solidFill>
                  <a:latin typeface="Calibri"/>
                  <a:cs typeface="Calibri"/>
                </a:rPr>
                <a:t>Update all inputs to default values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46464</xdr:colOff>
      <xdr:row>39</xdr:row>
      <xdr:rowOff>0</xdr:rowOff>
    </xdr:from>
    <xdr:to>
      <xdr:col>17</xdr:col>
      <xdr:colOff>0</xdr:colOff>
      <xdr:row>42</xdr:row>
      <xdr:rowOff>0</xdr:rowOff>
    </xdr:to>
    <xdr:sp macro="" textlink="">
      <xdr:nvSpPr>
        <xdr:cNvPr id="2" name="DSA_warnbox" hidden="1"/>
        <xdr:cNvSpPr txBox="1"/>
      </xdr:nvSpPr>
      <xdr:spPr>
        <a:xfrm>
          <a:off x="2462004" y="10912212"/>
          <a:ext cx="10922712" cy="64537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i="1">
              <a:latin typeface="Times New Roman" panose="02020603050405020304" pitchFamily="18" charset="0"/>
              <a:cs typeface="Times New Roman" panose="02020603050405020304" pitchFamily="18" charset="0"/>
            </a:rPr>
            <a:t>The tornado diagram is not displayed because the parameters above</a:t>
          </a:r>
          <a:r>
            <a:rPr lang="en-US" sz="1600" i="1" baseline="0">
              <a:latin typeface="Times New Roman" panose="02020603050405020304" pitchFamily="18" charset="0"/>
              <a:cs typeface="Times New Roman" panose="02020603050405020304" pitchFamily="18" charset="0"/>
            </a:rPr>
            <a:t> did not affect results.</a:t>
          </a:r>
          <a:endParaRPr lang="en-US" sz="1600" i="1">
            <a:latin typeface="Times New Roman" panose="02020603050405020304" pitchFamily="18" charset="0"/>
            <a:cs typeface="Times New Roman" panose="02020603050405020304" pitchFamily="18" charset="0"/>
          </a:endParaRPr>
        </a:p>
      </xdr:txBody>
    </xdr:sp>
    <xdr:clientData fLocksWithSheet="0"/>
  </xdr:twoCellAnchor>
  <xdr:twoCellAnchor>
    <xdr:from>
      <xdr:col>3</xdr:col>
      <xdr:colOff>0</xdr:colOff>
      <xdr:row>39</xdr:row>
      <xdr:rowOff>0</xdr:rowOff>
    </xdr:from>
    <xdr:to>
      <xdr:col>17</xdr:col>
      <xdr:colOff>0</xdr:colOff>
      <xdr:row>50</xdr:row>
      <xdr:rowOff>185853</xdr:rowOff>
    </xdr:to>
    <xdr:sp macro="" textlink="$G$33">
      <xdr:nvSpPr>
        <xdr:cNvPr id="3" name="DSA_warnbox" hidden="1"/>
        <xdr:cNvSpPr txBox="1"/>
      </xdr:nvSpPr>
      <xdr:spPr>
        <a:xfrm>
          <a:off x="2359598" y="12417858"/>
          <a:ext cx="10926662" cy="6429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F476FC8-34C3-4198-80FA-290CB094970B}" type="TxLink">
            <a:rPr lang="en-US" sz="1400" b="0" i="1" u="none" strike="noStrike">
              <a:solidFill>
                <a:srgbClr val="000000"/>
              </a:solidFill>
              <a:latin typeface="Times New Roman"/>
              <a:cs typeface="Times New Roman"/>
            </a:rPr>
            <a:pPr/>
            <a:t> </a:t>
          </a:fld>
          <a:endParaRPr lang="en-US" sz="1400" i="1"/>
        </a:p>
      </xdr:txBody>
    </xdr:sp>
    <xdr:clientData/>
  </xdr:twoCellAnchor>
  <xdr:twoCellAnchor>
    <xdr:from>
      <xdr:col>5</xdr:col>
      <xdr:colOff>13096</xdr:colOff>
      <xdr:row>9</xdr:row>
      <xdr:rowOff>16933</xdr:rowOff>
    </xdr:from>
    <xdr:to>
      <xdr:col>6</xdr:col>
      <xdr:colOff>1456267</xdr:colOff>
      <xdr:row>10</xdr:row>
      <xdr:rowOff>0</xdr:rowOff>
    </xdr:to>
    <xdr:sp macro="[0]!OnewaySA" textlink="">
      <xdr:nvSpPr>
        <xdr:cNvPr id="4" name="Rectangle 3"/>
        <xdr:cNvSpPr/>
      </xdr:nvSpPr>
      <xdr:spPr>
        <a:xfrm>
          <a:off x="5753496" y="3556000"/>
          <a:ext cx="3017971" cy="1473200"/>
        </a:xfrm>
        <a:prstGeom prst="rect">
          <a:avLst/>
        </a:prstGeom>
        <a:solidFill>
          <a:srgbClr val="16B6BA"/>
        </a:solidFill>
        <a:ln>
          <a:solidFill>
            <a:srgbClr val="323372"/>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rgbClr val="323372"/>
              </a:solidFill>
              <a:latin typeface="Arial" panose="020B0604020202020204" pitchFamily="34" charset="0"/>
              <a:cs typeface="Arial" panose="020B0604020202020204" pitchFamily="34" charset="0"/>
            </a:rPr>
            <a:t>Run sensitivity analyses</a:t>
          </a:r>
        </a:p>
      </xdr:txBody>
    </xdr:sp>
    <xdr:clientData/>
  </xdr:twoCellAnchor>
  <mc:AlternateContent xmlns:mc="http://schemas.openxmlformats.org/markup-compatibility/2006">
    <mc:Choice xmlns:a14="http://schemas.microsoft.com/office/drawing/2010/main" Requires="a14">
      <xdr:twoCellAnchor editAs="oneCell">
        <xdr:from>
          <xdr:col>5</xdr:col>
          <xdr:colOff>19050</xdr:colOff>
          <xdr:row>16</xdr:row>
          <xdr:rowOff>28575</xdr:rowOff>
        </xdr:from>
        <xdr:to>
          <xdr:col>6</xdr:col>
          <xdr:colOff>1114425</xdr:colOff>
          <xdr:row>17</xdr:row>
          <xdr:rowOff>47625</xdr:rowOff>
        </xdr:to>
        <xdr:sp macro="" textlink="">
          <xdr:nvSpPr>
            <xdr:cNvPr id="119809" name="Drop Down 1" hidden="1">
              <a:extLst>
                <a:ext uri="{63B3BB69-23CF-44E3-9099-C40C66FF867C}">
                  <a14:compatExt spid="_x0000_s11980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xdr:col>
      <xdr:colOff>102870</xdr:colOff>
      <xdr:row>22</xdr:row>
      <xdr:rowOff>64770</xdr:rowOff>
    </xdr:from>
    <xdr:to>
      <xdr:col>8</xdr:col>
      <xdr:colOff>537210</xdr:colOff>
      <xdr:row>39</xdr:row>
      <xdr:rowOff>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127001</xdr:colOff>
      <xdr:row>61</xdr:row>
      <xdr:rowOff>165101</xdr:rowOff>
    </xdr:from>
    <xdr:to>
      <xdr:col>5</xdr:col>
      <xdr:colOff>864278</xdr:colOff>
      <xdr:row>72</xdr:row>
      <xdr:rowOff>245533</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1185333</xdr:colOff>
      <xdr:row>61</xdr:row>
      <xdr:rowOff>220132</xdr:rowOff>
    </xdr:from>
    <xdr:to>
      <xdr:col>5</xdr:col>
      <xdr:colOff>152399</xdr:colOff>
      <xdr:row>64</xdr:row>
      <xdr:rowOff>76199</xdr:rowOff>
    </xdr:to>
    <xdr:sp macro="" textlink="$E$63">
      <xdr:nvSpPr>
        <xdr:cNvPr id="7" name="TextBox 6"/>
        <xdr:cNvSpPr txBox="1"/>
      </xdr:nvSpPr>
      <xdr:spPr>
        <a:xfrm>
          <a:off x="2599266" y="19287065"/>
          <a:ext cx="3293533" cy="567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76820EB0-3E33-4403-83EE-9BF9E1C7C8F0}" type="TxLink">
            <a:rPr lang="en-US" sz="1100" b="1" i="0" u="none" strike="noStrike">
              <a:solidFill>
                <a:srgbClr val="000000"/>
              </a:solidFill>
              <a:latin typeface="Myriad"/>
              <a:cs typeface="Arial" panose="020B0604020202020204" pitchFamily="34" charset="0"/>
            </a:rPr>
            <a:pPr algn="ctr"/>
            <a:t>Staff needed if cases reduced by 60%, by number of contacts per case</a:t>
          </a:fld>
          <a:endParaRPr lang="en-US" sz="1100" b="1">
            <a:latin typeface="Arial" panose="020B0604020202020204" pitchFamily="34" charset="0"/>
            <a:cs typeface="Arial" panose="020B0604020202020204" pitchFamily="34" charset="0"/>
          </a:endParaRPr>
        </a:p>
      </xdr:txBody>
    </xdr:sp>
    <xdr:clientData/>
  </xdr:twoCellAnchor>
  <xdr:twoCellAnchor>
    <xdr:from>
      <xdr:col>5</xdr:col>
      <xdr:colOff>1447799</xdr:colOff>
      <xdr:row>61</xdr:row>
      <xdr:rowOff>165101</xdr:rowOff>
    </xdr:from>
    <xdr:to>
      <xdr:col>9</xdr:col>
      <xdr:colOff>1024464</xdr:colOff>
      <xdr:row>72</xdr:row>
      <xdr:rowOff>245533</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643466</xdr:colOff>
      <xdr:row>61</xdr:row>
      <xdr:rowOff>165101</xdr:rowOff>
    </xdr:from>
    <xdr:to>
      <xdr:col>15</xdr:col>
      <xdr:colOff>533396</xdr:colOff>
      <xdr:row>72</xdr:row>
      <xdr:rowOff>245533</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1041397</xdr:colOff>
      <xdr:row>61</xdr:row>
      <xdr:rowOff>220132</xdr:rowOff>
    </xdr:from>
    <xdr:to>
      <xdr:col>14</xdr:col>
      <xdr:colOff>990597</xdr:colOff>
      <xdr:row>64</xdr:row>
      <xdr:rowOff>76199</xdr:rowOff>
    </xdr:to>
    <xdr:sp macro="" textlink="$L$63">
      <xdr:nvSpPr>
        <xdr:cNvPr id="13" name="TextBox 12"/>
        <xdr:cNvSpPr txBox="1"/>
      </xdr:nvSpPr>
      <xdr:spPr>
        <a:xfrm>
          <a:off x="14621930" y="19287065"/>
          <a:ext cx="3175000" cy="567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34C58982-BC02-421D-BA05-54CDA3E8DAE9}" type="TxLink">
            <a:rPr lang="en-US" sz="1100" b="1" i="0" u="none" strike="noStrike">
              <a:solidFill>
                <a:srgbClr val="000000"/>
              </a:solidFill>
              <a:latin typeface="Myriad"/>
              <a:cs typeface="Arial" panose="020B0604020202020204" pitchFamily="34" charset="0"/>
            </a:rPr>
            <a:pPr algn="ctr"/>
            <a:t>Staff needed if base-case number of cases, by number of contacts per case</a:t>
          </a:fld>
          <a:endParaRPr lang="en-US" sz="1100" b="1">
            <a:latin typeface="Arial" panose="020B0604020202020204" pitchFamily="34" charset="0"/>
            <a:cs typeface="Arial" panose="020B0604020202020204" pitchFamily="34" charset="0"/>
          </a:endParaRPr>
        </a:p>
      </xdr:txBody>
    </xdr:sp>
    <xdr:clientData/>
  </xdr:twoCellAnchor>
  <xdr:twoCellAnchor>
    <xdr:from>
      <xdr:col>3</xdr:col>
      <xdr:colOff>143934</xdr:colOff>
      <xdr:row>74</xdr:row>
      <xdr:rowOff>8466</xdr:rowOff>
    </xdr:from>
    <xdr:to>
      <xdr:col>5</xdr:col>
      <xdr:colOff>881211</xdr:colOff>
      <xdr:row>84</xdr:row>
      <xdr:rowOff>258232</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1126065</xdr:colOff>
      <xdr:row>74</xdr:row>
      <xdr:rowOff>38098</xdr:rowOff>
    </xdr:from>
    <xdr:to>
      <xdr:col>5</xdr:col>
      <xdr:colOff>93131</xdr:colOff>
      <xdr:row>76</xdr:row>
      <xdr:rowOff>63499</xdr:rowOff>
    </xdr:to>
    <xdr:sp macro="" textlink="$E$76">
      <xdr:nvSpPr>
        <xdr:cNvPr id="15" name="TextBox 14"/>
        <xdr:cNvSpPr txBox="1"/>
      </xdr:nvSpPr>
      <xdr:spPr>
        <a:xfrm>
          <a:off x="2539998" y="22525565"/>
          <a:ext cx="3293533" cy="567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432A89E0-5CAF-4558-A612-B35BCF5ABE8A}" type="TxLink">
            <a:rPr lang="en-US" sz="1100" b="1" i="0" u="none" strike="noStrike">
              <a:solidFill>
                <a:srgbClr val="000000"/>
              </a:solidFill>
              <a:latin typeface="Myriad"/>
              <a:cs typeface="Arial" panose="020B0604020202020204" pitchFamily="34" charset="0"/>
            </a:rPr>
            <a:pPr algn="ctr"/>
            <a:t>Staff needed if cases increased by 30%, by number of contacts per case</a:t>
          </a:fld>
          <a:endParaRPr lang="en-US" sz="1100" b="1">
            <a:latin typeface="Arial" panose="020B0604020202020204" pitchFamily="34" charset="0"/>
            <a:cs typeface="Arial" panose="020B0604020202020204" pitchFamily="34" charset="0"/>
          </a:endParaRPr>
        </a:p>
      </xdr:txBody>
    </xdr:sp>
    <xdr:clientData/>
  </xdr:twoCellAnchor>
  <xdr:twoCellAnchor>
    <xdr:from>
      <xdr:col>5</xdr:col>
      <xdr:colOff>1413933</xdr:colOff>
      <xdr:row>74</xdr:row>
      <xdr:rowOff>8466</xdr:rowOff>
    </xdr:from>
    <xdr:to>
      <xdr:col>9</xdr:col>
      <xdr:colOff>991277</xdr:colOff>
      <xdr:row>84</xdr:row>
      <xdr:rowOff>258232</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1032932</xdr:colOff>
      <xdr:row>74</xdr:row>
      <xdr:rowOff>38098</xdr:rowOff>
    </xdr:from>
    <xdr:to>
      <xdr:col>9</xdr:col>
      <xdr:colOff>211665</xdr:colOff>
      <xdr:row>76</xdr:row>
      <xdr:rowOff>63499</xdr:rowOff>
    </xdr:to>
    <xdr:sp macro="" textlink="$H$76">
      <xdr:nvSpPr>
        <xdr:cNvPr id="17" name="TextBox 16"/>
        <xdr:cNvSpPr txBox="1"/>
      </xdr:nvSpPr>
      <xdr:spPr>
        <a:xfrm>
          <a:off x="8348132" y="22525565"/>
          <a:ext cx="3293533" cy="567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F7FBE91E-86A4-4CE6-B786-74FB275C2813}" type="TxLink">
            <a:rPr lang="en-US" sz="1100" b="1" i="0" u="none" strike="noStrike">
              <a:solidFill>
                <a:srgbClr val="000000"/>
              </a:solidFill>
              <a:latin typeface="Myriad"/>
              <a:cs typeface="Arial" panose="020B0604020202020204" pitchFamily="34" charset="0"/>
            </a:rPr>
            <a:pPr algn="ctr"/>
            <a:t>Staff needed if cases increased by 60%, by number of contacts per case</a:t>
          </a:fld>
          <a:endParaRPr lang="en-US" sz="1100" b="1">
            <a:cs typeface="Arial" panose="020B0604020202020204" pitchFamily="34" charset="0"/>
          </a:endParaRPr>
        </a:p>
      </xdr:txBody>
    </xdr:sp>
    <xdr:clientData/>
  </xdr:twoCellAnchor>
  <xdr:twoCellAnchor>
    <xdr:from>
      <xdr:col>6</xdr:col>
      <xdr:colOff>1049866</xdr:colOff>
      <xdr:row>61</xdr:row>
      <xdr:rowOff>220132</xdr:rowOff>
    </xdr:from>
    <xdr:to>
      <xdr:col>9</xdr:col>
      <xdr:colOff>228599</xdr:colOff>
      <xdr:row>64</xdr:row>
      <xdr:rowOff>76199</xdr:rowOff>
    </xdr:to>
    <xdr:sp macro="" textlink="$G$63">
      <xdr:nvSpPr>
        <xdr:cNvPr id="18" name="TextBox 17"/>
        <xdr:cNvSpPr txBox="1"/>
      </xdr:nvSpPr>
      <xdr:spPr>
        <a:xfrm>
          <a:off x="8365066" y="19287065"/>
          <a:ext cx="3293533" cy="567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DC9D93E3-2B8F-4BA5-A454-289EBBEE176C}" type="TxLink">
            <a:rPr lang="en-US" sz="1100" b="1" i="0" u="none" strike="noStrike">
              <a:solidFill>
                <a:srgbClr val="000000"/>
              </a:solidFill>
              <a:latin typeface="Myriad"/>
              <a:cs typeface="Arial" panose="020B0604020202020204" pitchFamily="34" charset="0"/>
            </a:rPr>
            <a:pPr algn="ctr"/>
            <a:t>Staff needed if cases reduced by 30%, by number of contacts per case</a:t>
          </a:fld>
          <a:endParaRPr lang="en-US" sz="1100" b="1">
            <a:latin typeface="Arial" panose="020B0604020202020204" pitchFamily="34" charset="0"/>
            <a:cs typeface="Arial" panose="020B0604020202020204" pitchFamily="34" charset="0"/>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0.77648</cdr:x>
      <cdr:y>0.02726</cdr:y>
    </cdr:from>
    <cdr:to>
      <cdr:x>0.87444</cdr:x>
      <cdr:y>0.05199</cdr:y>
    </cdr:to>
    <cdr:sp macro="" textlink="tornado_center">
      <cdr:nvSpPr>
        <cdr:cNvPr id="7" name="TextBox 7"/>
        <cdr:cNvSpPr txBox="1"/>
      </cdr:nvSpPr>
      <cdr:spPr>
        <a:xfrm xmlns:a="http://schemas.openxmlformats.org/drawingml/2006/main">
          <a:off x="6816128" y="140523"/>
          <a:ext cx="859916" cy="12748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fld id="{C01D2572-023D-4088-B9D5-86FCAEF9ED0D}" type="TxLink">
            <a:rPr lang="en-US" sz="1100" b="0" i="0" u="none" strike="noStrike">
              <a:solidFill>
                <a:srgbClr val="000000"/>
              </a:solidFill>
              <a:latin typeface="Myriad"/>
              <a:cs typeface="Arial"/>
            </a:rPr>
            <a:pPr/>
            <a:t>79.3</a:t>
          </a:fld>
          <a:endParaRPr lang="en-US" sz="1050" b="1">
            <a:latin typeface="+mj-lt"/>
          </a:endParaRPr>
        </a:p>
      </cdr:txBody>
    </cdr:sp>
  </cdr:relSizeAnchor>
  <cdr:relSizeAnchor xmlns:cdr="http://schemas.openxmlformats.org/drawingml/2006/chartDrawing">
    <cdr:from>
      <cdr:x>0.41037</cdr:x>
      <cdr:y>0.01037</cdr:y>
    </cdr:from>
    <cdr:to>
      <cdr:x>0.78</cdr:x>
      <cdr:y>0.05765</cdr:y>
    </cdr:to>
    <cdr:sp macro="" textlink="'Sensitivity Analyses'!$E$30">
      <cdr:nvSpPr>
        <cdr:cNvPr id="8" name="TextBox 7"/>
        <cdr:cNvSpPr txBox="1"/>
      </cdr:nvSpPr>
      <cdr:spPr>
        <a:xfrm xmlns:a="http://schemas.openxmlformats.org/drawingml/2006/main">
          <a:off x="3602356" y="53457"/>
          <a:ext cx="3244672" cy="24372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8DB811D6-DD3A-4A80-B1AA-D5300C66EAAD}" type="TxLink">
            <a:rPr lang="en-US" sz="1100" b="1" i="0" u="none" strike="noStrike">
              <a:solidFill>
                <a:srgbClr val="000000"/>
              </a:solidFill>
              <a:latin typeface="Myriad"/>
              <a:cs typeface="Arial"/>
            </a:rPr>
            <a:pPr algn="r"/>
            <a:t>Base-case total number of staff needed: </a:t>
          </a:fld>
          <a:endParaRPr lang="en-US" sz="1050" b="1">
            <a:latin typeface="+mj-lt"/>
          </a:endParaRP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6BE00"/>
  </sheetPr>
  <dimension ref="A1:S20"/>
  <sheetViews>
    <sheetView showGridLines="0" tabSelected="1" zoomScaleNormal="100" workbookViewId="0"/>
  </sheetViews>
  <sheetFormatPr defaultColWidth="9.125" defaultRowHeight="14.25"/>
  <cols>
    <col min="1" max="1" width="9.125" style="2"/>
    <col min="2" max="2" width="2.625" style="2" customWidth="1"/>
    <col min="3" max="11" width="9.125" style="2"/>
    <col min="12" max="12" width="2.625" style="2" customWidth="1"/>
    <col min="13" max="16384" width="9.125" style="2"/>
  </cols>
  <sheetData>
    <row r="1" spans="1:19">
      <c r="A1" s="26"/>
      <c r="S1" s="26"/>
    </row>
    <row r="2" spans="1:19">
      <c r="B2" s="1"/>
      <c r="C2" s="1"/>
      <c r="D2" s="1"/>
      <c r="E2" s="1"/>
      <c r="F2" s="1"/>
      <c r="G2" s="1"/>
      <c r="H2" s="1"/>
      <c r="I2" s="1"/>
      <c r="J2" s="1"/>
      <c r="K2" s="1"/>
      <c r="L2" s="1"/>
    </row>
    <row r="3" spans="1:19">
      <c r="B3" s="1"/>
      <c r="C3" s="3"/>
      <c r="D3" s="3"/>
      <c r="E3" s="3"/>
      <c r="F3" s="3"/>
      <c r="G3" s="3"/>
      <c r="H3" s="3"/>
      <c r="I3" s="3"/>
      <c r="J3" s="3"/>
      <c r="K3" s="3"/>
      <c r="L3" s="1"/>
    </row>
    <row r="4" spans="1:19">
      <c r="B4" s="1"/>
      <c r="C4" s="3"/>
      <c r="D4" s="3"/>
      <c r="E4" s="3"/>
      <c r="F4" s="3"/>
      <c r="G4" s="3"/>
      <c r="H4" s="3"/>
      <c r="I4" s="3"/>
      <c r="J4" s="3"/>
      <c r="K4" s="3"/>
      <c r="L4" s="1"/>
    </row>
    <row r="5" spans="1:19">
      <c r="B5" s="1"/>
      <c r="C5" s="3"/>
      <c r="D5" s="3"/>
      <c r="E5" s="3"/>
      <c r="F5" s="3"/>
      <c r="G5" s="3"/>
      <c r="H5" s="3"/>
      <c r="I5" s="3"/>
      <c r="J5" s="3"/>
      <c r="K5" s="3"/>
      <c r="L5" s="1"/>
    </row>
    <row r="6" spans="1:19">
      <c r="B6" s="1"/>
      <c r="C6" s="3"/>
      <c r="D6" s="3"/>
      <c r="E6" s="289" t="s">
        <v>49</v>
      </c>
      <c r="F6" s="290"/>
      <c r="G6" s="290"/>
      <c r="H6" s="290"/>
      <c r="I6" s="290"/>
      <c r="J6" s="3"/>
      <c r="K6" s="3"/>
      <c r="L6" s="1"/>
    </row>
    <row r="7" spans="1:19">
      <c r="B7" s="1"/>
      <c r="C7" s="3"/>
      <c r="D7" s="3"/>
      <c r="E7" s="290"/>
      <c r="F7" s="290"/>
      <c r="G7" s="290"/>
      <c r="H7" s="290"/>
      <c r="I7" s="290"/>
      <c r="J7" s="3"/>
      <c r="K7" s="3"/>
      <c r="L7" s="1"/>
    </row>
    <row r="8" spans="1:19">
      <c r="B8" s="1"/>
      <c r="C8" s="3"/>
      <c r="D8" s="3"/>
      <c r="E8" s="290"/>
      <c r="F8" s="290"/>
      <c r="G8" s="290"/>
      <c r="H8" s="290"/>
      <c r="I8" s="290"/>
      <c r="J8" s="3"/>
      <c r="K8" s="3"/>
      <c r="L8" s="1"/>
    </row>
    <row r="9" spans="1:19">
      <c r="B9" s="1"/>
      <c r="C9" s="3"/>
      <c r="D9" s="3"/>
      <c r="E9" s="291" t="s">
        <v>48</v>
      </c>
      <c r="F9" s="292"/>
      <c r="G9" s="292"/>
      <c r="H9" s="292"/>
      <c r="I9" s="292"/>
      <c r="J9" s="3"/>
      <c r="K9" s="3"/>
      <c r="L9" s="1"/>
    </row>
    <row r="10" spans="1:19">
      <c r="B10" s="1"/>
      <c r="C10" s="3"/>
      <c r="D10" s="3"/>
      <c r="E10" s="292"/>
      <c r="F10" s="292"/>
      <c r="G10" s="292"/>
      <c r="H10" s="292"/>
      <c r="I10" s="292"/>
      <c r="J10" s="3"/>
      <c r="K10" s="3"/>
      <c r="L10" s="1"/>
    </row>
    <row r="11" spans="1:19">
      <c r="B11" s="1"/>
      <c r="C11" s="3"/>
      <c r="D11" s="3"/>
      <c r="E11" s="292"/>
      <c r="F11" s="292"/>
      <c r="G11" s="292"/>
      <c r="H11" s="292"/>
      <c r="I11" s="292"/>
      <c r="J11" s="3"/>
      <c r="K11" s="3"/>
      <c r="L11" s="1"/>
    </row>
    <row r="12" spans="1:19">
      <c r="B12" s="1"/>
      <c r="C12" s="3"/>
      <c r="D12" s="3"/>
      <c r="E12" s="3"/>
      <c r="F12" s="3"/>
      <c r="G12" s="3"/>
      <c r="H12" s="3"/>
      <c r="I12" s="3"/>
      <c r="J12" s="3"/>
      <c r="K12" s="3"/>
      <c r="L12" s="1"/>
    </row>
    <row r="13" spans="1:19">
      <c r="B13" s="1"/>
      <c r="C13" s="3"/>
      <c r="D13" s="3"/>
      <c r="E13" s="3"/>
      <c r="F13" s="3"/>
      <c r="G13" s="3"/>
      <c r="H13" s="3"/>
      <c r="I13" s="3"/>
      <c r="J13" s="3"/>
      <c r="K13" s="3"/>
      <c r="L13" s="1"/>
    </row>
    <row r="14" spans="1:19">
      <c r="B14" s="1"/>
      <c r="C14" s="3"/>
      <c r="D14" s="3"/>
      <c r="E14" s="3"/>
      <c r="F14" s="3"/>
      <c r="G14" s="3"/>
      <c r="H14" s="3"/>
      <c r="I14" s="3"/>
      <c r="J14" s="3"/>
      <c r="K14" s="3"/>
      <c r="L14" s="1"/>
    </row>
    <row r="15" spans="1:19">
      <c r="B15" s="1"/>
      <c r="C15" s="3"/>
      <c r="D15" s="3"/>
      <c r="E15" s="3"/>
      <c r="F15" s="3"/>
      <c r="G15" s="3"/>
      <c r="H15" s="3"/>
      <c r="I15" s="3"/>
      <c r="J15" s="3"/>
      <c r="K15" s="3"/>
      <c r="L15" s="1"/>
    </row>
    <row r="16" spans="1:19">
      <c r="B16" s="1"/>
      <c r="C16" s="3"/>
      <c r="D16" s="3"/>
      <c r="E16" s="3"/>
      <c r="F16" s="3"/>
      <c r="G16" s="3"/>
      <c r="H16" s="3"/>
      <c r="I16" s="3"/>
      <c r="J16" s="3"/>
      <c r="K16" s="3"/>
      <c r="L16" s="1"/>
    </row>
    <row r="17" spans="2:12">
      <c r="B17" s="1"/>
      <c r="C17" s="3"/>
      <c r="D17" s="3"/>
      <c r="E17" s="3"/>
      <c r="F17" s="3"/>
      <c r="G17" s="3"/>
      <c r="H17" s="3"/>
      <c r="I17" s="3"/>
      <c r="J17" s="3"/>
      <c r="K17" s="3"/>
      <c r="L17" s="1"/>
    </row>
    <row r="18" spans="2:12">
      <c r="B18" s="1"/>
      <c r="C18" s="3"/>
      <c r="D18" s="3"/>
      <c r="E18" s="3"/>
      <c r="F18" s="3"/>
      <c r="G18" s="3"/>
      <c r="H18" s="3"/>
      <c r="I18" s="3"/>
      <c r="J18" s="3"/>
      <c r="K18" s="3"/>
      <c r="L18" s="1"/>
    </row>
    <row r="19" spans="2:12">
      <c r="B19" s="1"/>
      <c r="C19" s="3"/>
      <c r="D19" s="3"/>
      <c r="E19" s="3"/>
      <c r="F19" s="3"/>
      <c r="G19" s="3"/>
      <c r="H19" s="3"/>
      <c r="I19" s="3"/>
      <c r="J19" s="3"/>
      <c r="K19" s="3"/>
      <c r="L19" s="1"/>
    </row>
    <row r="20" spans="2:12">
      <c r="B20" s="1"/>
      <c r="C20" s="1"/>
      <c r="D20" s="1"/>
      <c r="E20" s="1"/>
      <c r="F20" s="1"/>
      <c r="G20" s="1"/>
      <c r="H20" s="1"/>
      <c r="I20" s="1"/>
      <c r="J20" s="1"/>
      <c r="K20" s="1"/>
      <c r="L20" s="1"/>
    </row>
  </sheetData>
  <mergeCells count="2">
    <mergeCell ref="E6:I8"/>
    <mergeCell ref="E9:I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6BE00"/>
    <outlinePr showOutlineSymbols="0"/>
  </sheetPr>
  <dimension ref="A1:P48"/>
  <sheetViews>
    <sheetView showGridLines="0" zoomScale="90" zoomScaleNormal="90" workbookViewId="0"/>
  </sheetViews>
  <sheetFormatPr defaultColWidth="9.125" defaultRowHeight="14.25"/>
  <cols>
    <col min="1" max="1" width="9.125" style="112"/>
    <col min="2" max="2" width="2.625" style="112" customWidth="1"/>
    <col min="3" max="3" width="9.125" style="112"/>
    <col min="4" max="4" width="25.625" style="112" customWidth="1"/>
    <col min="5" max="5" width="30.875" style="112" customWidth="1"/>
    <col min="6" max="6" width="7.625" style="112" customWidth="1"/>
    <col min="7" max="13" width="9.125" style="112"/>
    <col min="14" max="14" width="2.625" style="112" customWidth="1"/>
    <col min="15" max="16384" width="9.125" style="112"/>
  </cols>
  <sheetData>
    <row r="1" spans="1:16">
      <c r="A1" s="111"/>
      <c r="P1" s="111"/>
    </row>
    <row r="2" spans="1:16" ht="15" customHeight="1">
      <c r="B2" s="113"/>
      <c r="C2" s="114"/>
      <c r="D2" s="114"/>
      <c r="E2" s="114"/>
      <c r="F2" s="114"/>
      <c r="G2" s="114"/>
      <c r="H2" s="114"/>
      <c r="I2" s="114"/>
      <c r="J2" s="114"/>
      <c r="K2" s="114"/>
      <c r="L2" s="114"/>
      <c r="M2" s="114"/>
      <c r="N2" s="113"/>
    </row>
    <row r="3" spans="1:16">
      <c r="B3" s="113"/>
      <c r="C3" s="115"/>
      <c r="D3" s="115"/>
      <c r="E3" s="115"/>
      <c r="F3" s="115"/>
      <c r="G3" s="115"/>
      <c r="H3" s="115"/>
      <c r="I3" s="115"/>
      <c r="J3" s="115"/>
      <c r="K3" s="115"/>
      <c r="L3" s="115"/>
      <c r="M3" s="115"/>
      <c r="N3" s="113"/>
    </row>
    <row r="4" spans="1:16" ht="26.25">
      <c r="B4" s="113"/>
      <c r="C4" s="296" t="s">
        <v>12</v>
      </c>
      <c r="D4" s="296"/>
      <c r="E4" s="296"/>
      <c r="F4" s="296"/>
      <c r="G4" s="296"/>
      <c r="H4" s="296"/>
      <c r="I4" s="296"/>
      <c r="J4" s="296"/>
      <c r="K4" s="296"/>
      <c r="L4" s="296"/>
      <c r="M4" s="296"/>
      <c r="N4" s="113"/>
    </row>
    <row r="5" spans="1:16">
      <c r="B5" s="113"/>
      <c r="C5" s="115"/>
      <c r="D5" s="115"/>
      <c r="E5" s="115"/>
      <c r="F5" s="115"/>
      <c r="G5" s="115"/>
      <c r="H5" s="115"/>
      <c r="I5" s="115"/>
      <c r="J5" s="115"/>
      <c r="K5" s="115"/>
      <c r="L5" s="115"/>
      <c r="M5" s="115"/>
      <c r="N5" s="113"/>
    </row>
    <row r="6" spans="1:16" ht="18">
      <c r="B6" s="113"/>
      <c r="C6" s="297" t="s">
        <v>19</v>
      </c>
      <c r="D6" s="297"/>
      <c r="E6" s="297"/>
      <c r="F6" s="297"/>
      <c r="G6" s="297"/>
      <c r="H6" s="297"/>
      <c r="I6" s="297"/>
      <c r="J6" s="297"/>
      <c r="K6" s="297"/>
      <c r="L6" s="297"/>
      <c r="M6" s="297"/>
      <c r="N6" s="113"/>
    </row>
    <row r="7" spans="1:16">
      <c r="B7" s="113"/>
      <c r="C7" s="115"/>
      <c r="D7" s="115"/>
      <c r="E7" s="115"/>
      <c r="F7" s="115"/>
      <c r="G7" s="115"/>
      <c r="H7" s="115"/>
      <c r="I7" s="115"/>
      <c r="J7" s="115"/>
      <c r="K7" s="115"/>
      <c r="L7" s="115"/>
      <c r="M7" s="115"/>
      <c r="N7" s="113"/>
    </row>
    <row r="8" spans="1:16" ht="15">
      <c r="B8" s="113"/>
      <c r="C8" s="115"/>
      <c r="D8" s="116" t="s">
        <v>1</v>
      </c>
      <c r="E8" s="294" t="s">
        <v>47</v>
      </c>
      <c r="F8" s="294"/>
      <c r="G8" s="294"/>
      <c r="H8" s="294"/>
      <c r="I8" s="294"/>
      <c r="J8" s="294"/>
      <c r="K8" s="294"/>
      <c r="L8" s="294"/>
      <c r="M8" s="115"/>
      <c r="N8" s="113"/>
    </row>
    <row r="9" spans="1:16" ht="15">
      <c r="B9" s="113"/>
      <c r="C9" s="115"/>
      <c r="D9" s="116"/>
      <c r="E9" s="115"/>
      <c r="F9" s="115"/>
      <c r="G9" s="115"/>
      <c r="H9" s="115"/>
      <c r="I9" s="115"/>
      <c r="J9" s="115"/>
      <c r="K9" s="115"/>
      <c r="L9" s="115"/>
      <c r="M9" s="115"/>
      <c r="N9" s="113"/>
    </row>
    <row r="10" spans="1:16" ht="26.25" customHeight="1">
      <c r="B10" s="113"/>
      <c r="C10" s="115"/>
      <c r="D10" s="117" t="s">
        <v>17</v>
      </c>
      <c r="E10" s="298" t="s">
        <v>50</v>
      </c>
      <c r="F10" s="298"/>
      <c r="G10" s="298"/>
      <c r="H10" s="298"/>
      <c r="I10" s="298"/>
      <c r="J10" s="298"/>
      <c r="K10" s="298"/>
      <c r="L10" s="298"/>
      <c r="M10" s="115"/>
      <c r="N10" s="113"/>
    </row>
    <row r="11" spans="1:16" ht="15" customHeight="1">
      <c r="B11" s="113"/>
      <c r="C11" s="115"/>
      <c r="D11" s="117"/>
      <c r="E11" s="298"/>
      <c r="F11" s="298"/>
      <c r="G11" s="298"/>
      <c r="H11" s="298"/>
      <c r="I11" s="298"/>
      <c r="J11" s="298"/>
      <c r="K11" s="298"/>
      <c r="L11" s="298"/>
      <c r="M11" s="115"/>
      <c r="N11" s="113"/>
    </row>
    <row r="12" spans="1:16" ht="15" customHeight="1">
      <c r="B12" s="113"/>
      <c r="C12" s="115"/>
      <c r="D12" s="117"/>
      <c r="E12" s="298"/>
      <c r="F12" s="298"/>
      <c r="G12" s="298"/>
      <c r="H12" s="298"/>
      <c r="I12" s="298"/>
      <c r="J12" s="298"/>
      <c r="K12" s="298"/>
      <c r="L12" s="298"/>
      <c r="M12" s="115"/>
      <c r="N12" s="113"/>
    </row>
    <row r="13" spans="1:16" ht="15" customHeight="1">
      <c r="B13" s="113"/>
      <c r="C13" s="115"/>
      <c r="D13" s="117"/>
      <c r="E13" s="118"/>
      <c r="F13" s="118"/>
      <c r="G13" s="118"/>
      <c r="H13" s="118"/>
      <c r="I13" s="118"/>
      <c r="J13" s="118"/>
      <c r="K13" s="118"/>
      <c r="L13" s="118"/>
      <c r="M13" s="115"/>
      <c r="N13" s="113"/>
    </row>
    <row r="14" spans="1:16" ht="15" customHeight="1">
      <c r="B14" s="113"/>
      <c r="C14" s="115"/>
      <c r="D14" s="117" t="s">
        <v>20</v>
      </c>
      <c r="E14" s="298" t="s">
        <v>74</v>
      </c>
      <c r="F14" s="298"/>
      <c r="G14" s="298"/>
      <c r="H14" s="298"/>
      <c r="I14" s="298"/>
      <c r="J14" s="298"/>
      <c r="K14" s="298"/>
      <c r="L14" s="298"/>
      <c r="M14" s="115"/>
      <c r="N14" s="113"/>
    </row>
    <row r="15" spans="1:16" ht="15" customHeight="1">
      <c r="B15" s="113"/>
      <c r="C15" s="115"/>
      <c r="D15" s="299" t="s">
        <v>75</v>
      </c>
      <c r="E15" s="298" t="s">
        <v>52</v>
      </c>
      <c r="F15" s="298"/>
      <c r="G15" s="298"/>
      <c r="H15" s="298"/>
      <c r="I15" s="298"/>
      <c r="J15" s="298"/>
      <c r="K15" s="298"/>
      <c r="L15" s="298"/>
      <c r="M15" s="115"/>
      <c r="N15" s="113"/>
    </row>
    <row r="16" spans="1:16" ht="27" customHeight="1">
      <c r="B16" s="113"/>
      <c r="C16" s="115"/>
      <c r="D16" s="300"/>
      <c r="E16" s="298" t="s">
        <v>53</v>
      </c>
      <c r="F16" s="298"/>
      <c r="G16" s="298"/>
      <c r="H16" s="298"/>
      <c r="I16" s="298"/>
      <c r="J16" s="298"/>
      <c r="K16" s="298"/>
      <c r="L16" s="298"/>
      <c r="M16" s="115"/>
      <c r="N16" s="113"/>
    </row>
    <row r="17" spans="2:14" ht="15" customHeight="1">
      <c r="B17" s="113"/>
      <c r="C17" s="115"/>
      <c r="D17" s="117"/>
      <c r="E17" s="119"/>
      <c r="F17" s="119"/>
      <c r="G17" s="119"/>
      <c r="H17" s="119"/>
      <c r="I17" s="119"/>
      <c r="J17" s="119"/>
      <c r="K17" s="119"/>
      <c r="L17" s="119"/>
      <c r="M17" s="115"/>
      <c r="N17" s="113"/>
    </row>
    <row r="18" spans="2:14" ht="15" customHeight="1">
      <c r="B18" s="113"/>
      <c r="C18" s="115"/>
      <c r="D18" s="117" t="s">
        <v>21</v>
      </c>
      <c r="E18" s="298" t="s">
        <v>68</v>
      </c>
      <c r="F18" s="298"/>
      <c r="G18" s="298"/>
      <c r="H18" s="298"/>
      <c r="I18" s="298"/>
      <c r="J18" s="298"/>
      <c r="K18" s="298"/>
      <c r="L18" s="298"/>
      <c r="M18" s="115"/>
      <c r="N18" s="113"/>
    </row>
    <row r="19" spans="2:14" ht="15" customHeight="1">
      <c r="B19" s="113"/>
      <c r="C19" s="115"/>
      <c r="D19" s="117"/>
      <c r="E19" s="298" t="s">
        <v>69</v>
      </c>
      <c r="F19" s="298"/>
      <c r="G19" s="298"/>
      <c r="H19" s="298"/>
      <c r="I19" s="298"/>
      <c r="J19" s="298"/>
      <c r="K19" s="298"/>
      <c r="L19" s="298"/>
      <c r="M19" s="115"/>
      <c r="N19" s="113"/>
    </row>
    <row r="20" spans="2:14" ht="15" customHeight="1">
      <c r="B20" s="113"/>
      <c r="C20" s="115"/>
      <c r="D20" s="117"/>
      <c r="E20" s="298" t="s">
        <v>70</v>
      </c>
      <c r="F20" s="298"/>
      <c r="G20" s="298"/>
      <c r="H20" s="298"/>
      <c r="I20" s="298"/>
      <c r="J20" s="298"/>
      <c r="K20" s="298"/>
      <c r="L20" s="298"/>
      <c r="M20" s="115"/>
      <c r="N20" s="113"/>
    </row>
    <row r="21" spans="2:14" ht="15">
      <c r="B21" s="113"/>
      <c r="C21" s="115"/>
      <c r="D21" s="116"/>
      <c r="E21" s="298" t="s">
        <v>71</v>
      </c>
      <c r="F21" s="298"/>
      <c r="G21" s="298"/>
      <c r="H21" s="298"/>
      <c r="I21" s="298"/>
      <c r="J21" s="298"/>
      <c r="K21" s="298"/>
      <c r="L21" s="298"/>
      <c r="M21" s="115"/>
      <c r="N21" s="113"/>
    </row>
    <row r="22" spans="2:14">
      <c r="B22" s="113"/>
      <c r="C22" s="115"/>
      <c r="D22" s="115"/>
      <c r="E22" s="115"/>
      <c r="F22" s="115"/>
      <c r="G22" s="115"/>
      <c r="H22" s="115"/>
      <c r="I22" s="115"/>
      <c r="J22" s="115"/>
      <c r="K22" s="115"/>
      <c r="L22" s="115"/>
      <c r="M22" s="115"/>
      <c r="N22" s="113"/>
    </row>
    <row r="23" spans="2:14" ht="18">
      <c r="B23" s="113"/>
      <c r="C23" s="297" t="s">
        <v>13</v>
      </c>
      <c r="D23" s="297"/>
      <c r="E23" s="297"/>
      <c r="F23" s="297"/>
      <c r="G23" s="297"/>
      <c r="H23" s="297"/>
      <c r="I23" s="297"/>
      <c r="J23" s="297"/>
      <c r="K23" s="297"/>
      <c r="L23" s="297"/>
      <c r="M23" s="297"/>
      <c r="N23" s="113"/>
    </row>
    <row r="24" spans="2:14">
      <c r="B24" s="113"/>
      <c r="C24" s="115"/>
      <c r="D24" s="115"/>
      <c r="E24" s="115"/>
      <c r="F24" s="115"/>
      <c r="G24" s="115"/>
      <c r="H24" s="115"/>
      <c r="I24" s="115"/>
      <c r="J24" s="115"/>
      <c r="K24" s="115"/>
      <c r="L24" s="115"/>
      <c r="M24" s="115"/>
      <c r="N24" s="113"/>
    </row>
    <row r="25" spans="2:14" ht="15" customHeight="1">
      <c r="B25" s="113"/>
      <c r="C25" s="115"/>
      <c r="D25" s="293" t="s">
        <v>38</v>
      </c>
      <c r="E25" s="294"/>
      <c r="F25" s="294"/>
      <c r="G25" s="294"/>
      <c r="H25" s="294"/>
      <c r="I25" s="294"/>
      <c r="J25" s="294"/>
      <c r="K25" s="294"/>
      <c r="L25" s="294"/>
      <c r="M25" s="115"/>
      <c r="N25" s="113"/>
    </row>
    <row r="26" spans="2:14" ht="15" customHeight="1">
      <c r="B26" s="113"/>
      <c r="C26" s="115"/>
      <c r="D26" s="293"/>
      <c r="E26" s="295" t="s">
        <v>51</v>
      </c>
      <c r="F26" s="295"/>
      <c r="G26" s="295"/>
      <c r="H26" s="295"/>
      <c r="I26" s="295"/>
      <c r="J26" s="295"/>
      <c r="K26" s="295"/>
      <c r="L26" s="295"/>
      <c r="M26" s="115"/>
      <c r="N26" s="113"/>
    </row>
    <row r="27" spans="2:14" ht="15" customHeight="1">
      <c r="B27" s="113"/>
      <c r="C27" s="115"/>
      <c r="D27" s="120"/>
      <c r="E27" s="295"/>
      <c r="F27" s="295"/>
      <c r="G27" s="295"/>
      <c r="H27" s="295"/>
      <c r="I27" s="295"/>
      <c r="J27" s="295"/>
      <c r="K27" s="295"/>
      <c r="L27" s="295"/>
      <c r="M27" s="115"/>
      <c r="N27" s="113"/>
    </row>
    <row r="28" spans="2:14" ht="15" customHeight="1">
      <c r="B28" s="113"/>
      <c r="C28" s="115"/>
      <c r="D28" s="120"/>
      <c r="E28" s="115"/>
      <c r="F28" s="115"/>
      <c r="G28" s="115"/>
      <c r="H28" s="115"/>
      <c r="I28" s="115"/>
      <c r="J28" s="115"/>
      <c r="K28" s="115"/>
      <c r="L28" s="115"/>
      <c r="M28" s="115"/>
      <c r="N28" s="113"/>
    </row>
    <row r="29" spans="2:14" ht="15" customHeight="1">
      <c r="B29" s="113"/>
      <c r="C29" s="115"/>
      <c r="D29" s="120" t="s">
        <v>18</v>
      </c>
      <c r="E29" s="294" t="s">
        <v>60</v>
      </c>
      <c r="F29" s="294"/>
      <c r="G29" s="294"/>
      <c r="H29" s="294"/>
      <c r="I29" s="294"/>
      <c r="J29" s="294"/>
      <c r="K29" s="294"/>
      <c r="L29" s="294"/>
      <c r="M29" s="115"/>
      <c r="N29" s="113"/>
    </row>
    <row r="30" spans="2:14" ht="15" customHeight="1">
      <c r="B30" s="113"/>
      <c r="C30" s="115"/>
      <c r="D30" s="120"/>
      <c r="E30" s="294" t="s">
        <v>61</v>
      </c>
      <c r="F30" s="294"/>
      <c r="G30" s="294"/>
      <c r="H30" s="294"/>
      <c r="I30" s="294"/>
      <c r="J30" s="294"/>
      <c r="K30" s="294"/>
      <c r="L30" s="294"/>
      <c r="M30" s="115"/>
      <c r="N30" s="113"/>
    </row>
    <row r="31" spans="2:14" ht="15" customHeight="1">
      <c r="B31" s="113"/>
      <c r="C31" s="115"/>
      <c r="D31" s="120"/>
      <c r="E31" s="294" t="s">
        <v>62</v>
      </c>
      <c r="F31" s="294"/>
      <c r="G31" s="294"/>
      <c r="H31" s="294"/>
      <c r="I31" s="294"/>
      <c r="J31" s="294"/>
      <c r="K31" s="294"/>
      <c r="L31" s="294"/>
      <c r="M31" s="115"/>
      <c r="N31" s="113"/>
    </row>
    <row r="32" spans="2:14" ht="15" customHeight="1">
      <c r="B32" s="113"/>
      <c r="C32" s="115"/>
      <c r="D32" s="120"/>
      <c r="E32" s="294" t="s">
        <v>63</v>
      </c>
      <c r="F32" s="294"/>
      <c r="G32" s="294"/>
      <c r="H32" s="294"/>
      <c r="I32" s="294"/>
      <c r="J32" s="294"/>
      <c r="K32" s="294"/>
      <c r="L32" s="294"/>
      <c r="M32" s="115"/>
      <c r="N32" s="113"/>
    </row>
    <row r="33" spans="2:14" ht="15" customHeight="1">
      <c r="B33" s="113"/>
      <c r="C33" s="115"/>
      <c r="D33" s="120"/>
      <c r="E33" s="115"/>
      <c r="F33" s="115"/>
      <c r="G33" s="115"/>
      <c r="H33" s="115"/>
      <c r="I33" s="115"/>
      <c r="J33" s="115"/>
      <c r="K33" s="115"/>
      <c r="L33" s="115"/>
      <c r="M33" s="115"/>
      <c r="N33" s="113"/>
    </row>
    <row r="34" spans="2:14">
      <c r="B34" s="113"/>
      <c r="C34" s="115"/>
      <c r="D34" s="115"/>
      <c r="E34" s="115"/>
      <c r="F34" s="115"/>
      <c r="G34" s="115"/>
      <c r="H34" s="115"/>
      <c r="I34" s="115"/>
      <c r="J34" s="115"/>
      <c r="K34" s="115"/>
      <c r="L34" s="115"/>
      <c r="M34" s="115"/>
      <c r="N34" s="113"/>
    </row>
    <row r="35" spans="2:14" ht="18">
      <c r="B35" s="113"/>
      <c r="C35" s="297" t="s">
        <v>10</v>
      </c>
      <c r="D35" s="297"/>
      <c r="E35" s="297"/>
      <c r="F35" s="297"/>
      <c r="G35" s="297"/>
      <c r="H35" s="297"/>
      <c r="I35" s="297"/>
      <c r="J35" s="297"/>
      <c r="K35" s="297"/>
      <c r="L35" s="297"/>
      <c r="M35" s="297"/>
      <c r="N35" s="113"/>
    </row>
    <row r="36" spans="2:14">
      <c r="B36" s="113"/>
      <c r="C36" s="115"/>
      <c r="D36" s="115"/>
      <c r="E36" s="115"/>
      <c r="F36" s="115"/>
      <c r="G36" s="115"/>
      <c r="H36" s="115"/>
      <c r="I36" s="115"/>
      <c r="J36" s="115"/>
      <c r="K36" s="115"/>
      <c r="L36" s="115"/>
      <c r="M36" s="115"/>
      <c r="N36" s="113"/>
    </row>
    <row r="37" spans="2:14">
      <c r="B37" s="113"/>
      <c r="C37" s="115"/>
      <c r="D37" s="115" t="s">
        <v>2</v>
      </c>
      <c r="E37" s="115"/>
      <c r="F37" s="115"/>
      <c r="G37" s="115"/>
      <c r="H37" s="115"/>
      <c r="I37" s="115"/>
      <c r="J37" s="115"/>
      <c r="K37" s="115"/>
      <c r="L37" s="115"/>
      <c r="M37" s="115"/>
      <c r="N37" s="113"/>
    </row>
    <row r="38" spans="2:14">
      <c r="B38" s="113"/>
      <c r="C38" s="115"/>
      <c r="D38" s="115"/>
      <c r="E38" s="115"/>
      <c r="F38" s="115"/>
      <c r="G38" s="115"/>
      <c r="H38" s="115"/>
      <c r="I38" s="115"/>
      <c r="J38" s="115"/>
      <c r="K38" s="115"/>
      <c r="L38" s="115"/>
      <c r="M38" s="115"/>
      <c r="N38" s="113"/>
    </row>
    <row r="39" spans="2:14">
      <c r="B39" s="113"/>
      <c r="C39" s="115"/>
      <c r="D39" s="115" t="s">
        <v>3</v>
      </c>
      <c r="E39" s="115"/>
      <c r="F39" s="115"/>
      <c r="G39" s="115"/>
      <c r="H39" s="115"/>
      <c r="I39" s="115"/>
      <c r="J39" s="115"/>
      <c r="K39" s="115"/>
      <c r="L39" s="115"/>
      <c r="M39" s="115"/>
      <c r="N39" s="113"/>
    </row>
    <row r="40" spans="2:14">
      <c r="B40" s="113"/>
      <c r="C40" s="115"/>
      <c r="D40" s="115"/>
      <c r="E40" s="115"/>
      <c r="F40" s="115"/>
      <c r="G40" s="115"/>
      <c r="H40" s="115"/>
      <c r="I40" s="115"/>
      <c r="J40" s="115"/>
      <c r="K40" s="115"/>
      <c r="L40" s="115"/>
      <c r="M40" s="115"/>
      <c r="N40" s="113"/>
    </row>
    <row r="41" spans="2:14" ht="15">
      <c r="B41" s="113"/>
      <c r="C41" s="115"/>
      <c r="D41" s="115"/>
      <c r="E41" s="121" t="s">
        <v>4</v>
      </c>
      <c r="F41" s="302" t="s">
        <v>5</v>
      </c>
      <c r="G41" s="302"/>
      <c r="H41" s="302"/>
      <c r="I41" s="302"/>
      <c r="J41" s="302"/>
      <c r="K41" s="302"/>
      <c r="L41" s="302"/>
      <c r="M41" s="115"/>
      <c r="N41" s="113"/>
    </row>
    <row r="42" spans="2:14" ht="15">
      <c r="B42" s="113"/>
      <c r="C42" s="115"/>
      <c r="D42" s="115"/>
      <c r="E42" s="122" t="s">
        <v>6</v>
      </c>
      <c r="F42" s="303" t="s">
        <v>7</v>
      </c>
      <c r="G42" s="303"/>
      <c r="H42" s="303"/>
      <c r="I42" s="303"/>
      <c r="J42" s="303"/>
      <c r="K42" s="303"/>
      <c r="L42" s="303"/>
      <c r="M42" s="115"/>
      <c r="N42" s="113"/>
    </row>
    <row r="43" spans="2:14" ht="15">
      <c r="B43" s="113"/>
      <c r="C43" s="115"/>
      <c r="D43" s="115"/>
      <c r="E43" s="122" t="s">
        <v>0</v>
      </c>
      <c r="F43" s="303" t="s">
        <v>14</v>
      </c>
      <c r="G43" s="303"/>
      <c r="H43" s="303"/>
      <c r="I43" s="303"/>
      <c r="J43" s="303"/>
      <c r="K43" s="303"/>
      <c r="L43" s="303"/>
      <c r="M43" s="115"/>
      <c r="N43" s="113"/>
    </row>
    <row r="44" spans="2:14" ht="15">
      <c r="B44" s="113"/>
      <c r="C44" s="115"/>
      <c r="D44" s="115"/>
      <c r="E44" s="122" t="s">
        <v>141</v>
      </c>
      <c r="F44" s="303" t="s">
        <v>142</v>
      </c>
      <c r="G44" s="303"/>
      <c r="H44" s="303"/>
      <c r="I44" s="303"/>
      <c r="J44" s="303"/>
      <c r="K44" s="303"/>
      <c r="L44" s="303"/>
      <c r="M44" s="115"/>
      <c r="N44" s="113"/>
    </row>
    <row r="45" spans="2:14" ht="15">
      <c r="B45" s="113"/>
      <c r="C45" s="115"/>
      <c r="D45" s="115"/>
      <c r="E45" s="123" t="s">
        <v>15</v>
      </c>
      <c r="F45" s="303" t="s">
        <v>16</v>
      </c>
      <c r="G45" s="303"/>
      <c r="H45" s="303"/>
      <c r="I45" s="303"/>
      <c r="J45" s="303"/>
      <c r="K45" s="303"/>
      <c r="L45" s="303"/>
      <c r="M45" s="115"/>
      <c r="N45" s="113"/>
    </row>
    <row r="46" spans="2:14" ht="30.75" customHeight="1">
      <c r="B46" s="113"/>
      <c r="C46" s="115"/>
      <c r="D46" s="115"/>
      <c r="E46" s="124" t="s">
        <v>72</v>
      </c>
      <c r="F46" s="301" t="s">
        <v>73</v>
      </c>
      <c r="G46" s="301"/>
      <c r="H46" s="301"/>
      <c r="I46" s="301"/>
      <c r="J46" s="301"/>
      <c r="K46" s="301"/>
      <c r="L46" s="301"/>
      <c r="M46" s="115"/>
      <c r="N46" s="113"/>
    </row>
    <row r="47" spans="2:14">
      <c r="B47" s="113"/>
      <c r="C47" s="115"/>
      <c r="D47" s="115"/>
      <c r="E47" s="115"/>
      <c r="F47" s="115"/>
      <c r="G47" s="115"/>
      <c r="H47" s="115"/>
      <c r="I47" s="115"/>
      <c r="J47" s="115"/>
      <c r="K47" s="115"/>
      <c r="L47" s="115"/>
      <c r="M47" s="115"/>
      <c r="N47" s="113"/>
    </row>
    <row r="48" spans="2:14" ht="15" customHeight="1">
      <c r="B48" s="113"/>
      <c r="C48" s="113"/>
      <c r="D48" s="113"/>
      <c r="E48" s="113"/>
      <c r="F48" s="113"/>
      <c r="G48" s="113"/>
      <c r="H48" s="113"/>
      <c r="I48" s="113"/>
      <c r="J48" s="113"/>
      <c r="K48" s="113"/>
      <c r="L48" s="113"/>
      <c r="M48" s="113"/>
      <c r="N48" s="113"/>
    </row>
  </sheetData>
  <mergeCells count="28">
    <mergeCell ref="F46:L46"/>
    <mergeCell ref="E27:L27"/>
    <mergeCell ref="E29:L29"/>
    <mergeCell ref="E30:L30"/>
    <mergeCell ref="E31:L31"/>
    <mergeCell ref="E32:L32"/>
    <mergeCell ref="C35:M35"/>
    <mergeCell ref="F41:L41"/>
    <mergeCell ref="F42:L42"/>
    <mergeCell ref="F43:L43"/>
    <mergeCell ref="F44:L44"/>
    <mergeCell ref="F45:L45"/>
    <mergeCell ref="D25:D26"/>
    <mergeCell ref="E25:L25"/>
    <mergeCell ref="E26:L26"/>
    <mergeCell ref="C4:M4"/>
    <mergeCell ref="C6:M6"/>
    <mergeCell ref="E8:L8"/>
    <mergeCell ref="E10:L12"/>
    <mergeCell ref="E14:L14"/>
    <mergeCell ref="D15:D16"/>
    <mergeCell ref="E15:L15"/>
    <mergeCell ref="E16:L16"/>
    <mergeCell ref="E18:L18"/>
    <mergeCell ref="E19:L19"/>
    <mergeCell ref="E20:L20"/>
    <mergeCell ref="E21:L21"/>
    <mergeCell ref="C23:M23"/>
  </mergeCells>
  <pageMargins left="0.7" right="0.7" top="0.75" bottom="0.75" header="0.3" footer="0.3"/>
  <pageSetup scale="70"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6BE00"/>
    <outlinePr showOutlineSymbols="0"/>
  </sheetPr>
  <dimension ref="A1:P53"/>
  <sheetViews>
    <sheetView showGridLines="0" zoomScale="84" zoomScaleNormal="115" workbookViewId="0"/>
  </sheetViews>
  <sheetFormatPr defaultColWidth="9.125" defaultRowHeight="14.25"/>
  <cols>
    <col min="1" max="1" width="9.125" style="112"/>
    <col min="2" max="2" width="2.625" style="112" customWidth="1"/>
    <col min="3" max="3" width="9.125" style="112"/>
    <col min="4" max="4" width="25.625" style="112" customWidth="1"/>
    <col min="5" max="5" width="30.875" style="112" customWidth="1"/>
    <col min="6" max="6" width="7.625" style="112" customWidth="1"/>
    <col min="7" max="13" width="9.125" style="112"/>
    <col min="14" max="14" width="2.625" style="112" customWidth="1"/>
    <col min="15" max="16384" width="9.125" style="112"/>
  </cols>
  <sheetData>
    <row r="1" spans="1:16">
      <c r="A1" s="111"/>
      <c r="P1" s="111"/>
    </row>
    <row r="2" spans="1:16" ht="15" customHeight="1">
      <c r="B2" s="113"/>
      <c r="C2" s="114"/>
      <c r="D2" s="114"/>
      <c r="E2" s="114"/>
      <c r="F2" s="114"/>
      <c r="G2" s="114"/>
      <c r="H2" s="114"/>
      <c r="I2" s="114"/>
      <c r="J2" s="114"/>
      <c r="K2" s="114"/>
      <c r="L2" s="114"/>
      <c r="M2" s="114"/>
      <c r="N2" s="113"/>
    </row>
    <row r="3" spans="1:16">
      <c r="B3" s="113"/>
      <c r="C3" s="115"/>
      <c r="D3" s="115"/>
      <c r="E3" s="115"/>
      <c r="F3" s="115"/>
      <c r="G3" s="115"/>
      <c r="H3" s="115"/>
      <c r="I3" s="115"/>
      <c r="J3" s="115"/>
      <c r="K3" s="115"/>
      <c r="L3" s="115"/>
      <c r="M3" s="115"/>
      <c r="N3" s="113"/>
    </row>
    <row r="4" spans="1:16" ht="26.25">
      <c r="B4" s="113"/>
      <c r="C4" s="296" t="s">
        <v>143</v>
      </c>
      <c r="D4" s="296"/>
      <c r="E4" s="296"/>
      <c r="F4" s="296"/>
      <c r="G4" s="296"/>
      <c r="H4" s="296"/>
      <c r="I4" s="296"/>
      <c r="J4" s="296"/>
      <c r="K4" s="296"/>
      <c r="L4" s="296"/>
      <c r="M4" s="296"/>
      <c r="N4" s="113"/>
    </row>
    <row r="5" spans="1:16">
      <c r="B5" s="113"/>
      <c r="C5" s="115"/>
      <c r="D5" s="115"/>
      <c r="E5" s="115"/>
      <c r="F5" s="115"/>
      <c r="G5" s="115"/>
      <c r="H5" s="115"/>
      <c r="I5" s="115"/>
      <c r="J5" s="115"/>
      <c r="K5" s="115"/>
      <c r="L5" s="115"/>
      <c r="M5" s="115"/>
      <c r="N5" s="113"/>
    </row>
    <row r="6" spans="1:16" ht="18">
      <c r="B6" s="113"/>
      <c r="C6" s="304" t="s">
        <v>144</v>
      </c>
      <c r="D6" s="304"/>
      <c r="E6" s="304"/>
      <c r="F6" s="304"/>
      <c r="G6" s="304"/>
      <c r="H6" s="304"/>
      <c r="I6" s="304"/>
      <c r="J6" s="304"/>
      <c r="K6" s="304"/>
      <c r="L6" s="304"/>
      <c r="M6" s="304"/>
      <c r="N6" s="113"/>
    </row>
    <row r="7" spans="1:16">
      <c r="B7" s="113"/>
      <c r="C7" s="115"/>
      <c r="D7" s="115"/>
      <c r="E7" s="115"/>
      <c r="F7" s="115"/>
      <c r="G7" s="115"/>
      <c r="H7" s="115"/>
      <c r="I7" s="115"/>
      <c r="J7" s="115"/>
      <c r="K7" s="115"/>
      <c r="L7" s="115"/>
      <c r="M7" s="115"/>
      <c r="N7" s="113"/>
    </row>
    <row r="8" spans="1:16" ht="15">
      <c r="B8" s="113"/>
      <c r="C8" s="115"/>
      <c r="D8" s="116" t="s">
        <v>145</v>
      </c>
      <c r="E8" s="294" t="s">
        <v>109</v>
      </c>
      <c r="F8" s="294"/>
      <c r="G8" s="294"/>
      <c r="H8" s="294"/>
      <c r="I8" s="294"/>
      <c r="J8" s="294"/>
      <c r="K8" s="294"/>
      <c r="L8" s="294"/>
      <c r="M8" s="115"/>
      <c r="N8" s="113"/>
    </row>
    <row r="9" spans="1:16" ht="15">
      <c r="B9" s="113"/>
      <c r="C9" s="115"/>
      <c r="D9" s="116"/>
      <c r="E9" s="125" t="s">
        <v>72</v>
      </c>
      <c r="F9" s="125"/>
      <c r="G9" s="125"/>
      <c r="H9" s="125"/>
      <c r="I9" s="125"/>
      <c r="J9" s="125"/>
      <c r="K9" s="125"/>
      <c r="L9" s="125"/>
      <c r="M9" s="115"/>
      <c r="N9" s="113"/>
    </row>
    <row r="10" spans="1:16" ht="15">
      <c r="B10" s="113"/>
      <c r="C10" s="115"/>
      <c r="D10" s="116"/>
      <c r="E10" s="125"/>
      <c r="F10" s="125"/>
      <c r="G10" s="125"/>
      <c r="H10" s="125"/>
      <c r="I10" s="125"/>
      <c r="J10" s="125"/>
      <c r="K10" s="125"/>
      <c r="L10" s="125"/>
      <c r="M10" s="115"/>
      <c r="N10" s="113"/>
    </row>
    <row r="11" spans="1:16" ht="15">
      <c r="B11" s="113"/>
      <c r="C11" s="115"/>
      <c r="D11" s="116" t="s">
        <v>146</v>
      </c>
      <c r="E11" s="125" t="s">
        <v>28</v>
      </c>
      <c r="F11" s="125"/>
      <c r="G11" s="125"/>
      <c r="H11" s="125"/>
      <c r="I11" s="125"/>
      <c r="J11" s="125"/>
      <c r="K11" s="125"/>
      <c r="L11" s="125"/>
      <c r="M11" s="115"/>
      <c r="N11" s="113"/>
    </row>
    <row r="12" spans="1:16" ht="15">
      <c r="B12" s="113"/>
      <c r="C12" s="115"/>
      <c r="D12" s="116"/>
      <c r="E12" s="125" t="s">
        <v>29</v>
      </c>
      <c r="F12" s="125"/>
      <c r="G12" s="125"/>
      <c r="H12" s="125"/>
      <c r="I12" s="125"/>
      <c r="J12" s="125"/>
      <c r="K12" s="125"/>
      <c r="L12" s="125"/>
      <c r="M12" s="115"/>
      <c r="N12" s="113"/>
    </row>
    <row r="13" spans="1:16" ht="15">
      <c r="B13" s="113"/>
      <c r="C13" s="115"/>
      <c r="D13" s="116"/>
      <c r="E13" s="125" t="s">
        <v>147</v>
      </c>
      <c r="F13" s="115"/>
      <c r="G13" s="115"/>
      <c r="H13" s="115"/>
      <c r="I13" s="115"/>
      <c r="J13" s="115"/>
      <c r="K13" s="115"/>
      <c r="L13" s="115"/>
      <c r="M13" s="115"/>
      <c r="N13" s="113"/>
    </row>
    <row r="14" spans="1:16" ht="15">
      <c r="B14" s="113"/>
      <c r="C14" s="115"/>
      <c r="D14" s="116"/>
      <c r="E14" s="127" t="s">
        <v>104</v>
      </c>
      <c r="F14" s="115"/>
      <c r="G14" s="115"/>
      <c r="H14" s="115"/>
      <c r="I14" s="115"/>
      <c r="J14" s="115"/>
      <c r="K14" s="115"/>
      <c r="L14" s="115"/>
      <c r="M14" s="115"/>
      <c r="N14" s="113"/>
    </row>
    <row r="15" spans="1:16" ht="15">
      <c r="B15" s="113"/>
      <c r="C15" s="115"/>
      <c r="D15" s="116"/>
      <c r="E15" s="125"/>
      <c r="F15" s="115"/>
      <c r="G15" s="115"/>
      <c r="H15" s="115"/>
      <c r="I15" s="115"/>
      <c r="J15" s="115"/>
      <c r="K15" s="115"/>
      <c r="L15" s="115"/>
      <c r="M15" s="115"/>
      <c r="N15" s="113"/>
    </row>
    <row r="16" spans="1:16" ht="15">
      <c r="B16" s="113"/>
      <c r="C16" s="115"/>
      <c r="D16" s="126" t="s">
        <v>210</v>
      </c>
      <c r="E16" s="305" t="s">
        <v>211</v>
      </c>
      <c r="F16" s="306"/>
      <c r="G16" s="306"/>
      <c r="H16" s="306"/>
      <c r="I16" s="306"/>
      <c r="J16" s="306"/>
      <c r="K16" s="306"/>
      <c r="L16" s="306"/>
      <c r="M16" s="115"/>
      <c r="N16" s="113"/>
    </row>
    <row r="17" spans="2:14" ht="45" customHeight="1">
      <c r="B17" s="113"/>
      <c r="C17" s="115"/>
      <c r="D17" s="116"/>
      <c r="E17" s="305" t="s">
        <v>212</v>
      </c>
      <c r="F17" s="306"/>
      <c r="G17" s="306"/>
      <c r="H17" s="306"/>
      <c r="I17" s="306"/>
      <c r="J17" s="306"/>
      <c r="K17" s="306"/>
      <c r="L17" s="306"/>
      <c r="M17" s="115"/>
      <c r="N17" s="113"/>
    </row>
    <row r="18" spans="2:14" ht="31.5" customHeight="1">
      <c r="B18" s="113"/>
      <c r="C18" s="115"/>
      <c r="D18" s="115"/>
      <c r="E18" s="306" t="s">
        <v>213</v>
      </c>
      <c r="F18" s="306"/>
      <c r="G18" s="306"/>
      <c r="H18" s="306"/>
      <c r="I18" s="306"/>
      <c r="J18" s="306"/>
      <c r="K18" s="306"/>
      <c r="L18" s="306"/>
      <c r="M18" s="115"/>
      <c r="N18" s="113"/>
    </row>
    <row r="19" spans="2:14">
      <c r="B19" s="113"/>
      <c r="C19" s="219"/>
      <c r="D19" s="219"/>
      <c r="E19" s="221"/>
      <c r="F19" s="221"/>
      <c r="G19" s="221"/>
      <c r="H19" s="221"/>
      <c r="I19" s="221"/>
      <c r="J19" s="221"/>
      <c r="K19" s="221"/>
      <c r="L19" s="221"/>
      <c r="M19" s="219"/>
      <c r="N19" s="113"/>
    </row>
    <row r="20" spans="2:14" ht="40.5" customHeight="1">
      <c r="B20" s="113"/>
      <c r="C20" s="307" t="s">
        <v>207</v>
      </c>
      <c r="D20" s="307"/>
      <c r="E20" s="307"/>
      <c r="F20" s="307"/>
      <c r="G20" s="307"/>
      <c r="H20" s="307"/>
      <c r="I20" s="307"/>
      <c r="J20" s="307"/>
      <c r="K20" s="307"/>
      <c r="L20" s="307"/>
      <c r="M20" s="307"/>
      <c r="N20" s="113"/>
    </row>
    <row r="21" spans="2:14">
      <c r="B21" s="113"/>
      <c r="C21" s="115"/>
      <c r="D21" s="115"/>
      <c r="E21" s="115"/>
      <c r="F21" s="115"/>
      <c r="G21" s="115"/>
      <c r="H21" s="115"/>
      <c r="I21" s="115"/>
      <c r="J21" s="115"/>
      <c r="K21" s="115"/>
      <c r="L21" s="115"/>
      <c r="M21" s="115"/>
      <c r="N21" s="113"/>
    </row>
    <row r="22" spans="2:14" ht="15">
      <c r="B22" s="113"/>
      <c r="C22" s="115"/>
      <c r="D22" s="116" t="s">
        <v>145</v>
      </c>
      <c r="E22" s="294" t="s">
        <v>109</v>
      </c>
      <c r="F22" s="294"/>
      <c r="G22" s="294"/>
      <c r="H22" s="294"/>
      <c r="I22" s="294"/>
      <c r="J22" s="294"/>
      <c r="K22" s="294"/>
      <c r="L22" s="294"/>
      <c r="M22" s="115"/>
      <c r="N22" s="113"/>
    </row>
    <row r="23" spans="2:14" ht="15">
      <c r="B23" s="113"/>
      <c r="C23" s="115"/>
      <c r="D23" s="116"/>
      <c r="E23" s="125"/>
      <c r="F23" s="125"/>
      <c r="G23" s="125"/>
      <c r="H23" s="125"/>
      <c r="I23" s="125"/>
      <c r="J23" s="125"/>
      <c r="K23" s="125"/>
      <c r="L23" s="125"/>
      <c r="M23" s="115"/>
      <c r="N23" s="113"/>
    </row>
    <row r="24" spans="2:14" ht="15">
      <c r="B24" s="113"/>
      <c r="C24" s="115"/>
      <c r="D24" s="116" t="s">
        <v>146</v>
      </c>
      <c r="E24" s="125" t="s">
        <v>28</v>
      </c>
      <c r="F24" s="125"/>
      <c r="G24" s="125"/>
      <c r="H24" s="125"/>
      <c r="I24" s="125"/>
      <c r="J24" s="125"/>
      <c r="K24" s="125"/>
      <c r="L24" s="125"/>
      <c r="M24" s="115"/>
      <c r="N24" s="113"/>
    </row>
    <row r="25" spans="2:14" ht="15">
      <c r="B25" s="113"/>
      <c r="C25" s="115"/>
      <c r="D25" s="116"/>
      <c r="E25" s="125" t="s">
        <v>29</v>
      </c>
      <c r="F25" s="125"/>
      <c r="G25" s="125"/>
      <c r="H25" s="125"/>
      <c r="I25" s="125"/>
      <c r="J25" s="125"/>
      <c r="K25" s="125"/>
      <c r="L25" s="125"/>
      <c r="M25" s="115"/>
      <c r="N25" s="113"/>
    </row>
    <row r="26" spans="2:14" ht="15">
      <c r="B26" s="113"/>
      <c r="C26" s="115"/>
      <c r="D26" s="116"/>
      <c r="E26" s="125"/>
      <c r="F26" s="125"/>
      <c r="G26" s="125"/>
      <c r="H26" s="125"/>
      <c r="I26" s="125"/>
      <c r="J26" s="125"/>
      <c r="K26" s="125"/>
      <c r="L26" s="125"/>
      <c r="M26" s="115"/>
      <c r="N26" s="113"/>
    </row>
    <row r="27" spans="2:14" ht="15" customHeight="1">
      <c r="B27" s="113"/>
      <c r="C27" s="115"/>
      <c r="D27" s="126" t="s">
        <v>210</v>
      </c>
      <c r="E27" s="305" t="s">
        <v>211</v>
      </c>
      <c r="F27" s="306"/>
      <c r="G27" s="306"/>
      <c r="H27" s="306"/>
      <c r="I27" s="306"/>
      <c r="J27" s="306"/>
      <c r="K27" s="306"/>
      <c r="L27" s="306"/>
      <c r="M27" s="115"/>
      <c r="N27" s="113"/>
    </row>
    <row r="28" spans="2:14" ht="27.75" customHeight="1">
      <c r="B28" s="113"/>
      <c r="C28" s="115"/>
      <c r="D28" s="116"/>
      <c r="E28" s="305" t="s">
        <v>214</v>
      </c>
      <c r="F28" s="306"/>
      <c r="G28" s="306"/>
      <c r="H28" s="306"/>
      <c r="I28" s="306"/>
      <c r="J28" s="306"/>
      <c r="K28" s="306"/>
      <c r="L28" s="306"/>
      <c r="M28" s="115"/>
      <c r="N28" s="113"/>
    </row>
    <row r="29" spans="2:14">
      <c r="B29" s="113"/>
      <c r="C29" s="115"/>
      <c r="D29" s="115"/>
      <c r="M29" s="115"/>
      <c r="N29" s="113"/>
    </row>
    <row r="30" spans="2:14" ht="18">
      <c r="B30" s="113"/>
      <c r="C30" s="304" t="s">
        <v>149</v>
      </c>
      <c r="D30" s="304"/>
      <c r="E30" s="304"/>
      <c r="F30" s="304"/>
      <c r="G30" s="304"/>
      <c r="H30" s="304"/>
      <c r="I30" s="304"/>
      <c r="J30" s="304"/>
      <c r="K30" s="304"/>
      <c r="L30" s="304"/>
      <c r="M30" s="304"/>
      <c r="N30" s="113"/>
    </row>
    <row r="31" spans="2:14">
      <c r="B31" s="113"/>
      <c r="C31" s="115"/>
      <c r="D31" s="115"/>
      <c r="E31" s="115"/>
      <c r="F31" s="115"/>
      <c r="G31" s="115"/>
      <c r="H31" s="115"/>
      <c r="I31" s="115"/>
      <c r="J31" s="115"/>
      <c r="K31" s="115"/>
      <c r="L31" s="115"/>
      <c r="M31" s="115"/>
      <c r="N31" s="113"/>
    </row>
    <row r="32" spans="2:14" ht="15">
      <c r="B32" s="113"/>
      <c r="C32" s="115"/>
      <c r="D32" s="116" t="s">
        <v>145</v>
      </c>
      <c r="E32" s="294" t="s">
        <v>109</v>
      </c>
      <c r="F32" s="294"/>
      <c r="G32" s="294"/>
      <c r="H32" s="294"/>
      <c r="I32" s="294"/>
      <c r="J32" s="294"/>
      <c r="K32" s="294"/>
      <c r="L32" s="294"/>
      <c r="M32" s="115"/>
      <c r="N32" s="113"/>
    </row>
    <row r="33" spans="2:14" ht="15">
      <c r="B33" s="113"/>
      <c r="C33" s="115"/>
      <c r="D33" s="116"/>
      <c r="E33" s="220" t="s">
        <v>72</v>
      </c>
      <c r="F33" s="125"/>
      <c r="G33" s="125"/>
      <c r="H33" s="125"/>
      <c r="I33" s="125"/>
      <c r="J33" s="125"/>
      <c r="K33" s="125"/>
      <c r="L33" s="125"/>
      <c r="M33" s="115"/>
      <c r="N33" s="113"/>
    </row>
    <row r="34" spans="2:14" ht="15">
      <c r="B34" s="113"/>
      <c r="C34" s="219"/>
      <c r="D34" s="116"/>
      <c r="E34" s="220"/>
      <c r="F34" s="220"/>
      <c r="G34" s="220"/>
      <c r="H34" s="220"/>
      <c r="I34" s="220"/>
      <c r="J34" s="220"/>
      <c r="K34" s="220"/>
      <c r="L34" s="220"/>
      <c r="M34" s="219"/>
      <c r="N34" s="113"/>
    </row>
    <row r="35" spans="2:14" ht="15">
      <c r="B35" s="113"/>
      <c r="C35" s="115"/>
      <c r="D35" s="116" t="s">
        <v>146</v>
      </c>
      <c r="E35" s="294" t="s">
        <v>42</v>
      </c>
      <c r="F35" s="294"/>
      <c r="G35" s="294"/>
      <c r="H35" s="294"/>
      <c r="I35" s="294"/>
      <c r="J35" s="294"/>
      <c r="K35" s="294"/>
      <c r="L35" s="294"/>
      <c r="M35" s="115"/>
      <c r="N35" s="113"/>
    </row>
    <row r="36" spans="2:14" ht="15">
      <c r="B36" s="113"/>
      <c r="C36" s="115"/>
      <c r="D36" s="116"/>
      <c r="E36" s="294" t="s">
        <v>97</v>
      </c>
      <c r="F36" s="294"/>
      <c r="G36" s="294"/>
      <c r="H36" s="294"/>
      <c r="I36" s="294"/>
      <c r="J36" s="294"/>
      <c r="K36" s="294"/>
      <c r="L36" s="294"/>
      <c r="M36" s="115"/>
      <c r="N36" s="113"/>
    </row>
    <row r="37" spans="2:14" ht="15">
      <c r="B37" s="113"/>
      <c r="C37" s="115"/>
      <c r="D37" s="116"/>
      <c r="E37" s="125" t="s">
        <v>41</v>
      </c>
      <c r="F37" s="125"/>
      <c r="G37" s="125"/>
      <c r="H37" s="125"/>
      <c r="I37" s="125"/>
      <c r="J37" s="125"/>
      <c r="K37" s="125"/>
      <c r="L37" s="125"/>
      <c r="M37" s="115"/>
      <c r="N37" s="113"/>
    </row>
    <row r="38" spans="2:14" ht="15">
      <c r="B38" s="113"/>
      <c r="C38" s="115"/>
      <c r="D38" s="116"/>
      <c r="E38" s="125"/>
      <c r="F38" s="125"/>
      <c r="G38" s="125"/>
      <c r="H38" s="125"/>
      <c r="I38" s="125"/>
      <c r="J38" s="125"/>
      <c r="K38" s="125"/>
      <c r="L38" s="125"/>
      <c r="M38" s="115"/>
      <c r="N38" s="113"/>
    </row>
    <row r="39" spans="2:14" ht="15">
      <c r="B39" s="113"/>
      <c r="C39" s="115"/>
      <c r="D39" s="126" t="s">
        <v>210</v>
      </c>
      <c r="E39" s="305" t="s">
        <v>211</v>
      </c>
      <c r="F39" s="306"/>
      <c r="G39" s="306"/>
      <c r="H39" s="306"/>
      <c r="I39" s="306"/>
      <c r="J39" s="306"/>
      <c r="K39" s="306"/>
      <c r="L39" s="306"/>
      <c r="M39" s="115"/>
      <c r="N39" s="113"/>
    </row>
    <row r="40" spans="2:14" ht="28.5" customHeight="1">
      <c r="B40" s="113"/>
      <c r="C40" s="115"/>
      <c r="D40" s="116"/>
      <c r="E40" s="305" t="s">
        <v>215</v>
      </c>
      <c r="F40" s="305"/>
      <c r="G40" s="305"/>
      <c r="H40" s="305"/>
      <c r="I40" s="305"/>
      <c r="J40" s="305"/>
      <c r="K40" s="305"/>
      <c r="L40" s="305"/>
      <c r="M40" s="115"/>
      <c r="N40" s="113"/>
    </row>
    <row r="41" spans="2:14" ht="27.75" customHeight="1">
      <c r="B41" s="113"/>
      <c r="C41" s="219"/>
      <c r="D41" s="116"/>
      <c r="E41" s="306" t="s">
        <v>216</v>
      </c>
      <c r="F41" s="306"/>
      <c r="G41" s="306"/>
      <c r="H41" s="306"/>
      <c r="I41" s="306"/>
      <c r="J41" s="306"/>
      <c r="K41" s="306"/>
      <c r="L41" s="306"/>
      <c r="M41" s="219"/>
      <c r="N41" s="113"/>
    </row>
    <row r="42" spans="2:14">
      <c r="B42" s="113"/>
      <c r="C42" s="115"/>
      <c r="D42" s="115"/>
      <c r="M42" s="115"/>
      <c r="N42" s="113"/>
    </row>
    <row r="43" spans="2:14" ht="39" customHeight="1">
      <c r="B43" s="113"/>
      <c r="C43" s="307" t="s">
        <v>150</v>
      </c>
      <c r="D43" s="307"/>
      <c r="E43" s="307"/>
      <c r="F43" s="307"/>
      <c r="G43" s="307"/>
      <c r="H43" s="307"/>
      <c r="I43" s="307"/>
      <c r="J43" s="307"/>
      <c r="K43" s="307"/>
      <c r="L43" s="307"/>
      <c r="M43" s="307"/>
      <c r="N43" s="113"/>
    </row>
    <row r="44" spans="2:14">
      <c r="B44" s="113"/>
      <c r="C44" s="115"/>
      <c r="D44" s="115"/>
      <c r="E44" s="115"/>
      <c r="F44" s="115"/>
      <c r="G44" s="115"/>
      <c r="H44" s="115"/>
      <c r="I44" s="115"/>
      <c r="J44" s="115"/>
      <c r="K44" s="115"/>
      <c r="L44" s="115"/>
      <c r="M44" s="115"/>
      <c r="N44" s="113"/>
    </row>
    <row r="45" spans="2:14" ht="15">
      <c r="B45" s="113"/>
      <c r="C45" s="115"/>
      <c r="D45" s="116" t="s">
        <v>145</v>
      </c>
      <c r="E45" s="294" t="s">
        <v>108</v>
      </c>
      <c r="F45" s="294"/>
      <c r="G45" s="294"/>
      <c r="H45" s="294"/>
      <c r="I45" s="294"/>
      <c r="J45" s="294"/>
      <c r="K45" s="294"/>
      <c r="L45" s="294"/>
      <c r="M45" s="115"/>
      <c r="N45" s="113"/>
    </row>
    <row r="46" spans="2:14" ht="15">
      <c r="B46" s="113"/>
      <c r="C46" s="115"/>
      <c r="D46" s="116"/>
      <c r="E46" s="125"/>
      <c r="F46" s="125"/>
      <c r="G46" s="125"/>
      <c r="H46" s="125"/>
      <c r="I46" s="125"/>
      <c r="J46" s="125"/>
      <c r="K46" s="125"/>
      <c r="L46" s="125"/>
      <c r="M46" s="115"/>
      <c r="N46" s="113"/>
    </row>
    <row r="47" spans="2:14" ht="15">
      <c r="B47" s="113"/>
      <c r="C47" s="115"/>
      <c r="D47" s="116" t="s">
        <v>146</v>
      </c>
      <c r="E47" s="125" t="s">
        <v>147</v>
      </c>
      <c r="F47" s="125"/>
      <c r="G47" s="125"/>
      <c r="H47" s="125"/>
      <c r="I47" s="125"/>
      <c r="J47" s="125"/>
      <c r="K47" s="125"/>
      <c r="L47" s="125"/>
      <c r="M47" s="115"/>
      <c r="N47" s="113"/>
    </row>
    <row r="48" spans="2:14" ht="15">
      <c r="B48" s="113"/>
      <c r="C48" s="115"/>
      <c r="D48" s="116"/>
      <c r="E48" s="127" t="s">
        <v>104</v>
      </c>
      <c r="F48" s="125"/>
      <c r="G48" s="125"/>
      <c r="H48" s="125"/>
      <c r="I48" s="125"/>
      <c r="J48" s="125"/>
      <c r="K48" s="125"/>
      <c r="L48" s="125"/>
      <c r="M48" s="115"/>
      <c r="N48" s="113"/>
    </row>
    <row r="49" spans="2:14" ht="15">
      <c r="B49" s="113"/>
      <c r="C49" s="115"/>
      <c r="D49" s="116"/>
      <c r="E49" s="125"/>
      <c r="F49" s="125"/>
      <c r="G49" s="125"/>
      <c r="H49" s="125"/>
      <c r="I49" s="125"/>
      <c r="J49" s="125"/>
      <c r="K49" s="125"/>
      <c r="L49" s="125"/>
      <c r="M49" s="115"/>
      <c r="N49" s="113"/>
    </row>
    <row r="50" spans="2:14" ht="15">
      <c r="B50" s="113"/>
      <c r="C50" s="115"/>
      <c r="D50" s="126" t="s">
        <v>148</v>
      </c>
      <c r="E50" s="305" t="s">
        <v>217</v>
      </c>
      <c r="F50" s="306"/>
      <c r="G50" s="306"/>
      <c r="H50" s="306"/>
      <c r="I50" s="306"/>
      <c r="J50" s="306"/>
      <c r="K50" s="306"/>
      <c r="L50" s="306"/>
      <c r="M50" s="115"/>
      <c r="N50" s="113"/>
    </row>
    <row r="51" spans="2:14" ht="31.5" customHeight="1">
      <c r="B51" s="113"/>
      <c r="C51" s="115"/>
      <c r="D51" s="116"/>
      <c r="E51" s="305" t="s">
        <v>218</v>
      </c>
      <c r="F51" s="305"/>
      <c r="G51" s="305"/>
      <c r="H51" s="305"/>
      <c r="I51" s="305"/>
      <c r="J51" s="305"/>
      <c r="K51" s="305"/>
      <c r="L51" s="305"/>
      <c r="M51" s="115"/>
      <c r="N51" s="113"/>
    </row>
    <row r="52" spans="2:14">
      <c r="B52" s="113"/>
      <c r="C52" s="115"/>
      <c r="D52" s="115"/>
      <c r="E52" s="115"/>
      <c r="F52" s="115"/>
      <c r="G52" s="115"/>
      <c r="H52" s="115"/>
      <c r="I52" s="115"/>
      <c r="J52" s="115"/>
      <c r="K52" s="115"/>
      <c r="L52" s="115"/>
      <c r="M52" s="115"/>
      <c r="N52" s="113"/>
    </row>
    <row r="53" spans="2:14" ht="15" customHeight="1">
      <c r="B53" s="113"/>
      <c r="C53" s="113"/>
      <c r="D53" s="113"/>
      <c r="E53" s="113"/>
      <c r="F53" s="113"/>
      <c r="G53" s="113"/>
      <c r="H53" s="113"/>
      <c r="I53" s="113"/>
      <c r="J53" s="113"/>
      <c r="K53" s="113"/>
      <c r="L53" s="113"/>
      <c r="M53" s="113"/>
      <c r="N53" s="113"/>
    </row>
  </sheetData>
  <mergeCells count="21">
    <mergeCell ref="E51:L51"/>
    <mergeCell ref="E36:L36"/>
    <mergeCell ref="E39:L39"/>
    <mergeCell ref="E40:L40"/>
    <mergeCell ref="C43:M43"/>
    <mergeCell ref="E45:L45"/>
    <mergeCell ref="E50:L50"/>
    <mergeCell ref="E41:L41"/>
    <mergeCell ref="E35:L35"/>
    <mergeCell ref="C4:M4"/>
    <mergeCell ref="C6:M6"/>
    <mergeCell ref="E8:L8"/>
    <mergeCell ref="E16:L16"/>
    <mergeCell ref="E17:L17"/>
    <mergeCell ref="C20:M20"/>
    <mergeCell ref="E22:L22"/>
    <mergeCell ref="E27:L27"/>
    <mergeCell ref="E28:L28"/>
    <mergeCell ref="C30:M30"/>
    <mergeCell ref="E32:L32"/>
    <mergeCell ref="E18:L18"/>
  </mergeCells>
  <pageMargins left="0.7" right="0.7" top="0.75" bottom="0.75" header="0.3" footer="0.3"/>
  <pageSetup scale="70" orientation="portrait" horizontalDpi="90" verticalDpi="9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323372"/>
    <outlinePr showOutlineSymbols="0"/>
  </sheetPr>
  <dimension ref="A1:Z90"/>
  <sheetViews>
    <sheetView showGridLines="0" showOutlineSymbols="0" zoomScale="72" zoomScaleNormal="90" workbookViewId="0"/>
  </sheetViews>
  <sheetFormatPr defaultColWidth="9.125" defaultRowHeight="14.25"/>
  <cols>
    <col min="1" max="1" width="8.875" style="2" customWidth="1"/>
    <col min="2" max="2" width="2.625" style="2" customWidth="1"/>
    <col min="3" max="3" width="4" style="2" customWidth="1"/>
    <col min="4" max="4" width="45.375" style="2" customWidth="1"/>
    <col min="5" max="5" width="15.5" style="2" customWidth="1"/>
    <col min="6" max="6" width="22.75" style="2" customWidth="1"/>
    <col min="7" max="7" width="3.875" style="2" customWidth="1"/>
    <col min="8" max="8" width="22.75" style="2" customWidth="1"/>
    <col min="9" max="9" width="3.875" style="2" customWidth="1"/>
    <col min="10" max="10" width="20.625" style="2" customWidth="1"/>
    <col min="11" max="11" width="3.625" style="2" customWidth="1"/>
    <col min="12" max="12" width="22.75" style="2" customWidth="1"/>
    <col min="13" max="13" width="51.5" style="2" customWidth="1"/>
    <col min="14" max="14" width="3.625" style="2" customWidth="1"/>
    <col min="15" max="15" width="1.125" style="2" customWidth="1"/>
    <col min="16" max="16" width="20.625" style="2" hidden="1" customWidth="1"/>
    <col min="17" max="17" width="1.125" style="2" hidden="1" customWidth="1"/>
    <col min="18" max="18" width="20.625" style="2" hidden="1" customWidth="1"/>
    <col min="19" max="19" width="1.125" style="2" hidden="1" customWidth="1"/>
    <col min="20" max="20" width="20.625" style="2" hidden="1" customWidth="1"/>
    <col min="21" max="21" width="1.125" style="2" customWidth="1"/>
    <col min="22" max="22" width="2.625" style="2" customWidth="1"/>
    <col min="23" max="23" width="9.125" style="2"/>
    <col min="24" max="24" width="3.125" style="2" customWidth="1"/>
    <col min="25" max="25" width="5" style="2" customWidth="1"/>
    <col min="26" max="26" width="16.75" style="2" customWidth="1"/>
    <col min="27" max="27" width="4.875" style="2" customWidth="1"/>
    <col min="28" max="28" width="42.125" style="2" customWidth="1"/>
    <col min="29" max="29" width="4.375" style="2" customWidth="1"/>
    <col min="30" max="30" width="2.75" style="2" customWidth="1"/>
    <col min="31" max="16384" width="9.125" style="2"/>
  </cols>
  <sheetData>
    <row r="1" spans="1:22">
      <c r="A1" s="26"/>
    </row>
    <row r="2" spans="1:22" ht="15">
      <c r="B2" s="5"/>
      <c r="C2" s="309"/>
      <c r="D2" s="309"/>
      <c r="E2" s="309"/>
      <c r="F2" s="309"/>
      <c r="G2" s="309"/>
      <c r="H2" s="309"/>
      <c r="I2" s="309"/>
      <c r="J2" s="309"/>
      <c r="K2" s="309"/>
      <c r="L2" s="309"/>
      <c r="M2" s="309"/>
      <c r="N2" s="309"/>
      <c r="O2" s="309"/>
      <c r="P2" s="309"/>
      <c r="Q2" s="309"/>
      <c r="R2" s="309"/>
      <c r="S2" s="309"/>
      <c r="T2" s="309"/>
      <c r="U2" s="36"/>
      <c r="V2" s="1"/>
    </row>
    <row r="3" spans="1:22" ht="45" customHeight="1">
      <c r="B3" s="5"/>
      <c r="C3" s="310" t="s">
        <v>109</v>
      </c>
      <c r="D3" s="310"/>
      <c r="E3" s="310"/>
      <c r="F3" s="310"/>
      <c r="G3" s="310"/>
      <c r="H3" s="310"/>
      <c r="I3" s="310"/>
      <c r="J3" s="310"/>
      <c r="K3" s="310"/>
      <c r="L3" s="310"/>
      <c r="M3" s="310"/>
      <c r="N3" s="310"/>
      <c r="O3" s="310"/>
      <c r="P3" s="310"/>
      <c r="Q3" s="310"/>
      <c r="R3" s="310"/>
      <c r="S3" s="310"/>
      <c r="T3" s="310"/>
      <c r="U3" s="37"/>
      <c r="V3" s="1"/>
    </row>
    <row r="4" spans="1:22" ht="18" collapsed="1">
      <c r="B4" s="308" t="s">
        <v>11</v>
      </c>
      <c r="C4" s="308"/>
      <c r="D4" s="308"/>
      <c r="E4" s="308"/>
      <c r="F4" s="308"/>
      <c r="G4" s="308"/>
      <c r="H4" s="308"/>
      <c r="I4" s="308"/>
      <c r="J4" s="308"/>
      <c r="K4" s="308"/>
      <c r="L4" s="308"/>
      <c r="M4" s="308"/>
      <c r="N4" s="308"/>
      <c r="O4" s="308"/>
      <c r="P4" s="308"/>
      <c r="Q4" s="308"/>
      <c r="R4" s="308"/>
      <c r="S4" s="308"/>
      <c r="T4" s="308"/>
      <c r="U4" s="308"/>
      <c r="V4" s="1"/>
    </row>
    <row r="5" spans="1:22" ht="15.75" customHeight="1">
      <c r="B5" s="5"/>
      <c r="C5" s="33"/>
      <c r="D5" s="17"/>
      <c r="E5" s="17"/>
      <c r="F5" s="21"/>
      <c r="G5" s="17"/>
      <c r="H5" s="22"/>
      <c r="I5" s="17"/>
      <c r="J5" s="13"/>
      <c r="K5" s="30"/>
      <c r="L5" s="13"/>
      <c r="M5" s="13"/>
      <c r="N5" s="13"/>
      <c r="O5" s="31"/>
      <c r="P5" s="32"/>
      <c r="Q5" s="31"/>
      <c r="R5" s="32"/>
      <c r="S5" s="31"/>
      <c r="T5" s="32"/>
      <c r="U5" s="31"/>
      <c r="V5" s="1"/>
    </row>
    <row r="6" spans="1:22" ht="15.75" customHeight="1">
      <c r="B6" s="5"/>
      <c r="C6" s="6"/>
      <c r="D6" s="15" t="s">
        <v>43</v>
      </c>
      <c r="E6" s="17"/>
      <c r="F6" s="46" t="s">
        <v>45</v>
      </c>
      <c r="G6" s="17"/>
      <c r="H6" s="22"/>
      <c r="I6" s="17"/>
      <c r="J6" s="13"/>
      <c r="K6" s="19"/>
      <c r="L6" s="19"/>
      <c r="M6" s="19"/>
      <c r="N6" s="19"/>
      <c r="O6" s="18"/>
      <c r="P6" s="20"/>
      <c r="Q6" s="18"/>
      <c r="R6" s="20"/>
      <c r="S6" s="18"/>
      <c r="T6" s="20"/>
      <c r="U6" s="18"/>
      <c r="V6" s="1"/>
    </row>
    <row r="7" spans="1:22" ht="15.75" customHeight="1">
      <c r="B7" s="5"/>
      <c r="C7" s="6"/>
      <c r="D7" s="17"/>
      <c r="E7" s="17"/>
      <c r="F7" s="21"/>
      <c r="G7" s="17"/>
      <c r="H7" s="22"/>
      <c r="I7" s="17"/>
      <c r="J7" s="13"/>
      <c r="K7" s="19"/>
      <c r="L7" s="19"/>
      <c r="M7" s="19"/>
      <c r="N7" s="19"/>
      <c r="O7" s="18"/>
      <c r="P7" s="20"/>
      <c r="Q7" s="18"/>
      <c r="R7" s="20"/>
      <c r="S7" s="18"/>
      <c r="T7" s="20"/>
      <c r="U7" s="18"/>
      <c r="V7" s="1"/>
    </row>
    <row r="8" spans="1:22" ht="15.75" customHeight="1">
      <c r="B8" s="5"/>
      <c r="C8" s="6"/>
      <c r="D8" s="17"/>
      <c r="E8" s="17"/>
      <c r="F8" s="21" t="s">
        <v>22</v>
      </c>
      <c r="G8" s="17"/>
      <c r="H8" s="22" t="s">
        <v>107</v>
      </c>
      <c r="I8" s="17"/>
      <c r="J8" s="22" t="str">
        <f xml:space="preserve"> IF(select_results_time = "Day", "Total daily costs", IF(select_results_time="Week", "Total weekly costs", "Total Monthly costs"))</f>
        <v>Total daily costs</v>
      </c>
      <c r="K8" s="19"/>
      <c r="L8" s="19"/>
      <c r="M8" s="18"/>
      <c r="O8" s="18"/>
      <c r="P8" s="20"/>
      <c r="Q8" s="18"/>
      <c r="R8" s="20"/>
      <c r="S8" s="18"/>
      <c r="T8" s="1"/>
      <c r="V8" s="20"/>
    </row>
    <row r="9" spans="1:22" ht="15.75" customHeight="1">
      <c r="B9" s="5"/>
      <c r="C9" s="6"/>
      <c r="D9" s="15" t="s">
        <v>23</v>
      </c>
      <c r="E9" s="23"/>
      <c r="F9" s="34"/>
      <c r="G9" s="23"/>
      <c r="H9" s="22"/>
      <c r="I9" s="23"/>
      <c r="J9" s="22"/>
      <c r="K9" s="19"/>
      <c r="L9" s="19"/>
      <c r="M9" s="18"/>
      <c r="O9" s="18"/>
      <c r="P9" s="20"/>
      <c r="Q9" s="18"/>
      <c r="R9" s="20"/>
      <c r="S9" s="18"/>
      <c r="T9" s="1"/>
      <c r="V9" s="20"/>
    </row>
    <row r="10" spans="1:22" ht="5.25" customHeight="1">
      <c r="B10" s="5"/>
      <c r="C10" s="6"/>
      <c r="D10" s="16"/>
      <c r="E10" s="24"/>
      <c r="F10" s="21"/>
      <c r="G10" s="24"/>
      <c r="H10" s="22"/>
      <c r="I10" s="24"/>
      <c r="J10" s="22"/>
      <c r="K10" s="19"/>
      <c r="L10" s="19"/>
      <c r="M10" s="18"/>
      <c r="O10" s="18"/>
      <c r="P10" s="20"/>
      <c r="Q10" s="18"/>
      <c r="R10" s="20"/>
      <c r="S10" s="18"/>
      <c r="T10" s="1"/>
      <c r="V10" s="20"/>
    </row>
    <row r="11" spans="1:22" ht="15.75" customHeight="1">
      <c r="B11" s="5"/>
      <c r="C11" s="6"/>
      <c r="D11" s="17" t="s">
        <v>76</v>
      </c>
      <c r="E11" s="25"/>
      <c r="F11" s="27">
        <f>(H11*7)/input_staff_hrs</f>
        <v>17.0625</v>
      </c>
      <c r="G11" s="25"/>
      <c r="H11" s="263">
        <f>((input_case_prop_reached*input_case_n*input_case_hrs_reached)+((1-input_case_prop_reached)*input_case_hrs_not_reached*input_case_n))/60</f>
        <v>97.5</v>
      </c>
      <c r="I11" s="25"/>
      <c r="J11" s="52">
        <f>H11*F73*IF(select_results_time = "Day", 1, IF(select_results_time="Week", 7, 365.25/12))</f>
        <v>1462.5</v>
      </c>
      <c r="K11" s="19"/>
      <c r="L11" s="19"/>
      <c r="M11" s="18"/>
      <c r="O11" s="18"/>
      <c r="P11" s="20"/>
      <c r="Q11" s="18"/>
      <c r="R11" s="20"/>
      <c r="S11" s="18"/>
      <c r="T11" s="1"/>
      <c r="V11" s="20"/>
    </row>
    <row r="12" spans="1:22" ht="5.25" customHeight="1">
      <c r="B12" s="5"/>
      <c r="C12" s="6"/>
      <c r="D12" s="17"/>
      <c r="E12" s="25"/>
      <c r="F12" s="28"/>
      <c r="G12" s="25"/>
      <c r="H12" s="28"/>
      <c r="I12" s="25"/>
      <c r="J12"/>
      <c r="K12" s="19"/>
      <c r="L12" s="19"/>
      <c r="M12" s="18"/>
      <c r="O12" s="18"/>
      <c r="P12" s="20"/>
      <c r="Q12" s="18"/>
      <c r="R12" s="20"/>
      <c r="S12" s="18"/>
      <c r="T12" s="1"/>
      <c r="V12" s="20"/>
    </row>
    <row r="13" spans="1:22" ht="15.75" customHeight="1">
      <c r="B13" s="5"/>
      <c r="C13" s="6"/>
      <c r="D13" s="17" t="s">
        <v>24</v>
      </c>
      <c r="E13" s="25"/>
      <c r="F13" s="27">
        <f>(H13*7)/input_staff_hrs</f>
        <v>43.895833333333336</v>
      </c>
      <c r="G13" s="25"/>
      <c r="H13" s="263">
        <f>(((input_cont_prop_reached*input_cont_hrs_reached*input_cont_n*input_case_n*input_case_prop_reached)+((1-input_cont_prop_reached)*input_cont_hrs_not_reached*input_cont_n*input_case_n*input_case_prop_reached))+((input_fup_n_call*input_fup_hrs_call*input_case_prop_reached*input_case_n*input_cont_n*input_cont_prop_reached)+(input_fup_n_text*F56*input_case_prop_reached*input_case_n*input_cont_n*input_cont_prop_reached)))/60</f>
        <v>250.83333333333334</v>
      </c>
      <c r="I13" s="25"/>
      <c r="J13" s="52">
        <f>H13*F75*IF(select_results_time = "Day", 1, IF(select_results_time="Week", 7, 365.25/12))</f>
        <v>3762.5</v>
      </c>
      <c r="K13" s="19"/>
      <c r="L13" s="19"/>
      <c r="M13" s="18"/>
      <c r="O13" s="18"/>
      <c r="P13" s="20"/>
      <c r="Q13" s="18"/>
      <c r="R13" s="20"/>
      <c r="S13" s="18"/>
      <c r="T13" s="1"/>
      <c r="V13" s="20"/>
    </row>
    <row r="14" spans="1:22" ht="5.25" customHeight="1">
      <c r="B14" s="5"/>
      <c r="C14" s="6"/>
      <c r="D14" s="17"/>
      <c r="E14" s="25"/>
      <c r="F14" s="28"/>
      <c r="G14" s="25"/>
      <c r="H14" s="28"/>
      <c r="I14" s="25"/>
      <c r="J14"/>
      <c r="K14" s="19"/>
      <c r="L14" s="19"/>
      <c r="M14" s="18"/>
      <c r="O14" s="18"/>
      <c r="P14" s="20"/>
      <c r="Q14" s="18"/>
      <c r="R14" s="20"/>
      <c r="S14" s="18"/>
      <c r="T14" s="1"/>
      <c r="V14" s="20"/>
    </row>
    <row r="15" spans="1:22" ht="15.75" customHeight="1">
      <c r="B15" s="5"/>
      <c r="C15" s="6"/>
      <c r="D15" s="17" t="s">
        <v>77</v>
      </c>
      <c r="E15" s="25"/>
      <c r="F15" s="27">
        <f>(H15*7)/input_staff_hrs</f>
        <v>11.106666666666666</v>
      </c>
      <c r="G15" s="25"/>
      <c r="H15" s="264">
        <f>((input_case_n*input_case_prop_reached * input_rc_prop) + (input_case_n*input_cont_n*input_case_prop_reached*input_cont_prop_reached*input_rc_prop_contact)) * input_staff_hrs/(F64 * 5)</f>
        <v>63.466666666666669</v>
      </c>
      <c r="I15" s="25"/>
      <c r="J15" s="52">
        <f>H15*F77*IF(select_results_time = "Day", 1, IF(select_results_time="Week", 7, 365.25/12))</f>
        <v>1269.3333333333335</v>
      </c>
      <c r="K15" s="19"/>
      <c r="L15" s="19"/>
      <c r="M15" s="18"/>
      <c r="O15" s="18"/>
      <c r="P15" s="20"/>
      <c r="Q15" s="18"/>
      <c r="R15" s="20"/>
      <c r="S15" s="18"/>
      <c r="T15" s="1"/>
      <c r="V15" s="20"/>
    </row>
    <row r="16" spans="1:22" ht="5.25" customHeight="1">
      <c r="B16" s="5"/>
      <c r="C16" s="6"/>
      <c r="D16" s="17"/>
      <c r="E16" s="25"/>
      <c r="F16" s="28"/>
      <c r="G16" s="25"/>
      <c r="H16" s="28"/>
      <c r="I16" s="25"/>
      <c r="J16"/>
      <c r="K16" s="19"/>
      <c r="L16" s="19"/>
      <c r="M16" s="18"/>
      <c r="O16" s="18"/>
      <c r="P16" s="20"/>
      <c r="Q16" s="18"/>
      <c r="R16" s="20"/>
      <c r="S16" s="18"/>
      <c r="T16" s="1"/>
      <c r="V16" s="20"/>
    </row>
    <row r="17" spans="2:22" ht="15.75" customHeight="1">
      <c r="B17" s="5"/>
      <c r="C17" s="6"/>
      <c r="D17" s="17" t="s">
        <v>25</v>
      </c>
      <c r="E17" s="25"/>
      <c r="F17" s="27">
        <f>(F11+F13+F15)/F71</f>
        <v>7.2065000000000001</v>
      </c>
      <c r="G17" s="25"/>
      <c r="H17" s="264">
        <f>F17*(input_staff_hrs/7)</f>
        <v>41.18</v>
      </c>
      <c r="I17" s="25"/>
      <c r="J17" s="52">
        <f>H17*input_staff_n_super*IF(select_results_time = "Day", 1, IF(select_results_time="Week", 7, 365.25/12))</f>
        <v>1235.4000000000001</v>
      </c>
      <c r="K17" s="19"/>
      <c r="L17" s="19"/>
      <c r="M17" s="18"/>
      <c r="O17" s="18"/>
      <c r="P17" s="20"/>
      <c r="Q17" s="18"/>
      <c r="R17" s="20"/>
      <c r="S17" s="18"/>
      <c r="T17" s="1"/>
      <c r="V17" s="20"/>
    </row>
    <row r="18" spans="2:22" ht="5.25" customHeight="1">
      <c r="B18" s="5"/>
      <c r="C18" s="6"/>
      <c r="D18" s="17"/>
      <c r="E18" s="25"/>
      <c r="F18" s="28"/>
      <c r="G18" s="25"/>
      <c r="H18" s="28"/>
      <c r="I18" s="25"/>
      <c r="J18"/>
      <c r="K18" s="19"/>
      <c r="L18" s="19"/>
      <c r="M18" s="18"/>
      <c r="O18" s="18"/>
      <c r="P18" s="20"/>
      <c r="Q18" s="18"/>
      <c r="R18" s="20"/>
      <c r="S18" s="18"/>
      <c r="T18" s="1"/>
      <c r="V18" s="20"/>
    </row>
    <row r="19" spans="2:22" ht="15.75" customHeight="1">
      <c r="B19" s="5"/>
      <c r="C19" s="6"/>
      <c r="D19" s="17"/>
      <c r="E19" s="25"/>
      <c r="F19" s="29"/>
      <c r="G19" s="25"/>
      <c r="H19" s="29"/>
      <c r="I19" s="25"/>
      <c r="J19"/>
      <c r="K19" s="19"/>
      <c r="L19" s="19"/>
      <c r="M19" s="18"/>
      <c r="O19" s="18"/>
      <c r="P19" s="20"/>
      <c r="Q19" s="18"/>
      <c r="R19" s="20"/>
      <c r="S19" s="18"/>
      <c r="T19" s="1"/>
      <c r="V19" s="20"/>
    </row>
    <row r="20" spans="2:22" ht="15.75" customHeight="1">
      <c r="B20" s="5"/>
      <c r="C20" s="6"/>
      <c r="D20" s="15" t="s">
        <v>26</v>
      </c>
      <c r="E20" s="25"/>
      <c r="F20" s="27">
        <f>SUM(F11,F13,F15,F17)</f>
        <v>79.271500000000003</v>
      </c>
      <c r="G20" s="25"/>
      <c r="H20" s="264">
        <f>SUM(H11,H13,H15,H17)</f>
        <v>452.98000000000008</v>
      </c>
      <c r="I20" s="25"/>
      <c r="J20" s="52">
        <f>SUM(J11,J13,J15,J17)*IF(select_results_time = "Day", 1, IF(select_results_time="Week", 7, 365.25/12))</f>
        <v>7729.7333333333336</v>
      </c>
      <c r="K20" s="19"/>
      <c r="L20" s="19"/>
      <c r="M20" s="18"/>
      <c r="O20" s="18"/>
      <c r="P20" s="20"/>
      <c r="Q20" s="18"/>
      <c r="R20" s="20"/>
      <c r="S20" s="18"/>
      <c r="T20" s="1"/>
      <c r="V20" s="20"/>
    </row>
    <row r="21" spans="2:22" ht="15.75" customHeight="1">
      <c r="B21" s="5"/>
      <c r="C21" s="6"/>
      <c r="D21" s="17"/>
      <c r="E21" s="25"/>
      <c r="F21" s="21"/>
      <c r="G21" s="25"/>
      <c r="H21" s="21"/>
      <c r="I21" s="25"/>
      <c r="J21"/>
      <c r="K21" s="19"/>
      <c r="L21" s="19"/>
      <c r="M21" s="19"/>
      <c r="N21" s="19"/>
      <c r="O21" s="18"/>
      <c r="P21" s="20"/>
      <c r="Q21" s="18"/>
      <c r="R21" s="20"/>
      <c r="S21" s="18"/>
      <c r="T21" s="20"/>
      <c r="U21" s="18"/>
      <c r="V21" s="1"/>
    </row>
    <row r="22" spans="2:22" ht="15.75" customHeight="1">
      <c r="B22" s="5"/>
      <c r="C22" s="6"/>
      <c r="D22" s="17"/>
      <c r="E22" s="17"/>
      <c r="F22" s="21"/>
      <c r="G22" s="17"/>
      <c r="H22" s="22"/>
      <c r="I22" s="17"/>
      <c r="J22" s="13"/>
      <c r="K22" s="19"/>
      <c r="L22" s="19"/>
      <c r="M22" s="19"/>
      <c r="N22" s="19"/>
      <c r="O22" s="18"/>
      <c r="P22" s="20"/>
      <c r="Q22" s="18"/>
      <c r="R22" s="20"/>
      <c r="S22" s="18"/>
      <c r="T22" s="20"/>
      <c r="U22" s="18"/>
      <c r="V22" s="1"/>
    </row>
    <row r="23" spans="2:22" ht="18" collapsed="1">
      <c r="B23" s="5"/>
      <c r="C23" s="308" t="s">
        <v>27</v>
      </c>
      <c r="D23" s="308"/>
      <c r="E23" s="308"/>
      <c r="F23" s="308"/>
      <c r="G23" s="308"/>
      <c r="H23" s="308"/>
      <c r="I23" s="308"/>
      <c r="J23" s="308"/>
      <c r="K23" s="308"/>
      <c r="L23" s="308"/>
      <c r="M23" s="308"/>
      <c r="N23" s="308"/>
      <c r="O23" s="308"/>
      <c r="P23" s="308"/>
      <c r="Q23" s="308"/>
      <c r="R23" s="308"/>
      <c r="S23" s="308"/>
      <c r="T23" s="308"/>
      <c r="U23" s="38"/>
      <c r="V23" s="1"/>
    </row>
    <row r="24" spans="2:22" ht="15">
      <c r="B24" s="5"/>
      <c r="C24" s="8"/>
      <c r="D24" s="8"/>
      <c r="E24" s="8"/>
      <c r="F24" s="8"/>
      <c r="G24" s="8"/>
      <c r="H24" s="8"/>
      <c r="I24" s="8"/>
      <c r="J24" s="8"/>
      <c r="K24" s="8"/>
      <c r="L24" s="8"/>
      <c r="M24" s="8"/>
      <c r="N24" s="8"/>
      <c r="O24" s="8"/>
      <c r="P24" s="8"/>
      <c r="Q24" s="8"/>
      <c r="R24" s="8"/>
      <c r="S24" s="8"/>
      <c r="T24" s="8"/>
      <c r="U24" s="8"/>
      <c r="V24" s="1"/>
    </row>
    <row r="25" spans="2:22" ht="15.75">
      <c r="B25" s="5"/>
      <c r="C25" s="8"/>
      <c r="D25" s="8"/>
      <c r="E25" s="8"/>
      <c r="F25" s="44" t="s">
        <v>33</v>
      </c>
      <c r="G25" s="14"/>
      <c r="H25" s="44" t="s">
        <v>31</v>
      </c>
      <c r="I25" s="14"/>
      <c r="J25" s="311" t="s">
        <v>78</v>
      </c>
      <c r="K25" s="311"/>
      <c r="L25" s="311"/>
      <c r="M25" s="8"/>
      <c r="N25" s="8"/>
      <c r="O25" s="8"/>
      <c r="P25" s="8"/>
      <c r="Q25" s="8"/>
      <c r="R25" s="8"/>
      <c r="S25" s="8"/>
      <c r="T25" s="8"/>
      <c r="U25" s="8"/>
      <c r="V25" s="1"/>
    </row>
    <row r="26" spans="2:22" s="35" customFormat="1" ht="15.75">
      <c r="B26" s="5"/>
      <c r="C26" s="8"/>
      <c r="D26" s="43" t="s">
        <v>32</v>
      </c>
      <c r="E26" s="43"/>
      <c r="F26" s="43"/>
      <c r="G26" s="43"/>
      <c r="H26" s="43"/>
      <c r="I26" s="43"/>
      <c r="J26" s="43"/>
      <c r="K26" s="43"/>
      <c r="L26" s="43"/>
      <c r="M26" s="43"/>
      <c r="N26" s="45"/>
      <c r="O26" s="8"/>
      <c r="P26" s="8"/>
      <c r="Q26" s="8"/>
      <c r="R26" s="8"/>
      <c r="S26" s="8"/>
      <c r="T26" s="8"/>
      <c r="U26" s="8"/>
      <c r="V26" s="4"/>
    </row>
    <row r="27" spans="2:22" ht="5.25" customHeight="1">
      <c r="B27" s="5"/>
      <c r="C27" s="6"/>
      <c r="D27" s="17"/>
      <c r="E27" s="25"/>
      <c r="F27" s="25"/>
      <c r="G27" s="25"/>
      <c r="H27" s="25"/>
      <c r="I27" s="25"/>
      <c r="J27" s="25"/>
      <c r="K27"/>
      <c r="L27"/>
      <c r="M27"/>
      <c r="N27"/>
      <c r="O27" s="18"/>
      <c r="P27" s="20"/>
      <c r="Q27" s="18"/>
      <c r="R27" s="20"/>
      <c r="S27" s="18"/>
      <c r="T27" s="20"/>
      <c r="U27" s="18"/>
      <c r="V27" s="1"/>
    </row>
    <row r="28" spans="2:22" ht="15.75" customHeight="1">
      <c r="B28" s="5"/>
      <c r="C28" s="6"/>
      <c r="D28" s="17" t="s">
        <v>28</v>
      </c>
      <c r="E28" s="25"/>
      <c r="F28" s="49">
        <v>100</v>
      </c>
      <c r="G28" s="25"/>
      <c r="H28" s="228">
        <v>100</v>
      </c>
      <c r="I28" s="25"/>
      <c r="J28" s="312" t="s">
        <v>219</v>
      </c>
      <c r="K28" s="312"/>
      <c r="L28" s="312"/>
      <c r="M28" s="312"/>
      <c r="N28"/>
      <c r="O28" s="18"/>
      <c r="P28" s="20"/>
      <c r="Q28" s="18"/>
      <c r="R28" s="20"/>
      <c r="S28" s="18"/>
      <c r="T28" s="20"/>
      <c r="U28" s="18"/>
      <c r="V28" s="1"/>
    </row>
    <row r="29" spans="2:22" ht="5.25" customHeight="1">
      <c r="B29" s="5"/>
      <c r="C29" s="6"/>
      <c r="D29" s="17"/>
      <c r="E29" s="25"/>
      <c r="F29" s="39"/>
      <c r="G29" s="25"/>
      <c r="H29" s="215"/>
      <c r="I29" s="25"/>
      <c r="J29" s="51"/>
      <c r="K29" s="51"/>
      <c r="L29" s="51"/>
      <c r="M29"/>
      <c r="N29"/>
      <c r="O29" s="18"/>
      <c r="P29" s="20"/>
      <c r="Q29" s="18"/>
      <c r="R29" s="20"/>
      <c r="S29" s="18"/>
      <c r="T29" s="20"/>
      <c r="U29" s="18"/>
      <c r="V29" s="1"/>
    </row>
    <row r="30" spans="2:22" ht="15.75" customHeight="1">
      <c r="B30" s="5"/>
      <c r="C30" s="6"/>
      <c r="D30" s="17" t="s">
        <v>29</v>
      </c>
      <c r="E30" s="25"/>
      <c r="F30" s="49">
        <v>5</v>
      </c>
      <c r="G30" s="25"/>
      <c r="H30" s="228">
        <v>5</v>
      </c>
      <c r="I30" s="25"/>
      <c r="J30" s="312"/>
      <c r="K30" s="312"/>
      <c r="L30" s="312"/>
      <c r="M30"/>
      <c r="N30"/>
      <c r="O30" s="18"/>
      <c r="P30" s="20"/>
      <c r="Q30" s="18"/>
      <c r="R30" s="20"/>
      <c r="S30" s="18"/>
      <c r="T30" s="20"/>
      <c r="U30" s="18"/>
      <c r="V30" s="1"/>
    </row>
    <row r="31" spans="2:22" ht="5.25" customHeight="1">
      <c r="B31" s="5"/>
      <c r="C31" s="6"/>
      <c r="D31" s="17"/>
      <c r="E31" s="25"/>
      <c r="F31" s="39"/>
      <c r="G31" s="25"/>
      <c r="H31" s="215"/>
      <c r="I31" s="25"/>
      <c r="J31" s="8"/>
      <c r="K31"/>
      <c r="L31"/>
      <c r="M31"/>
      <c r="N31"/>
      <c r="O31" s="18"/>
      <c r="P31" s="20"/>
      <c r="Q31" s="18"/>
      <c r="R31" s="20"/>
      <c r="S31" s="18"/>
      <c r="T31" s="20"/>
      <c r="U31" s="18"/>
      <c r="V31" s="1"/>
    </row>
    <row r="32" spans="2:22" ht="18" collapsed="1">
      <c r="B32" s="5"/>
      <c r="C32" s="41"/>
      <c r="D32" s="43" t="s">
        <v>79</v>
      </c>
      <c r="E32" s="43"/>
      <c r="F32" s="43"/>
      <c r="G32" s="43"/>
      <c r="H32" s="43"/>
      <c r="I32" s="43"/>
      <c r="J32" s="43"/>
      <c r="K32" s="43"/>
      <c r="L32" s="43"/>
      <c r="M32" s="43"/>
      <c r="N32"/>
      <c r="O32" s="41"/>
      <c r="P32" s="41"/>
      <c r="Q32" s="41"/>
      <c r="R32" s="41"/>
      <c r="S32" s="41"/>
      <c r="T32" s="41"/>
      <c r="U32" s="41"/>
      <c r="V32" s="1"/>
    </row>
    <row r="33" spans="2:26" ht="5.25" customHeight="1">
      <c r="B33" s="5"/>
      <c r="C33" s="6"/>
      <c r="D33" s="17"/>
      <c r="E33" s="25"/>
      <c r="F33" s="25"/>
      <c r="G33" s="25"/>
      <c r="H33" s="25"/>
      <c r="I33" s="25"/>
      <c r="J33" s="25"/>
      <c r="K33"/>
      <c r="L33"/>
      <c r="M33"/>
      <c r="N33"/>
      <c r="O33" s="18"/>
      <c r="P33" s="20"/>
      <c r="Q33" s="18"/>
      <c r="R33" s="20"/>
      <c r="S33" s="18"/>
      <c r="T33" s="20"/>
      <c r="U33" s="18"/>
      <c r="V33" s="1"/>
    </row>
    <row r="34" spans="2:26" ht="15.75" customHeight="1">
      <c r="B34" s="5"/>
      <c r="C34" s="6"/>
      <c r="D34" s="42" t="s">
        <v>39</v>
      </c>
      <c r="E34" s="25"/>
      <c r="F34" s="47">
        <v>0.7</v>
      </c>
      <c r="G34" s="25"/>
      <c r="H34" s="48">
        <v>0.7</v>
      </c>
      <c r="I34" s="25"/>
      <c r="J34" s="236"/>
      <c r="K34" s="51"/>
      <c r="L34" s="51"/>
      <c r="M34"/>
      <c r="N34"/>
      <c r="O34" s="18"/>
      <c r="P34" s="20"/>
      <c r="Q34" s="18"/>
      <c r="R34" s="20"/>
      <c r="S34" s="18"/>
      <c r="T34" s="20"/>
      <c r="U34" s="18"/>
      <c r="V34" s="1"/>
    </row>
    <row r="35" spans="2:26" ht="5.25" customHeight="1">
      <c r="B35" s="5"/>
      <c r="C35" s="6"/>
      <c r="D35" s="17"/>
      <c r="E35" s="25"/>
      <c r="F35" s="39"/>
      <c r="G35" s="25"/>
      <c r="H35" s="215"/>
      <c r="I35" s="25"/>
      <c r="J35" s="51"/>
      <c r="K35" s="51"/>
      <c r="L35" s="51"/>
      <c r="M35"/>
      <c r="N35"/>
      <c r="O35" s="18"/>
      <c r="P35" s="20"/>
      <c r="Q35" s="18"/>
      <c r="R35" s="20"/>
      <c r="S35" s="18"/>
      <c r="T35" s="20"/>
      <c r="U35" s="18"/>
      <c r="V35" s="1"/>
    </row>
    <row r="36" spans="2:26" ht="15.75" customHeight="1">
      <c r="B36" s="5"/>
      <c r="C36" s="6"/>
      <c r="D36" s="42" t="s">
        <v>55</v>
      </c>
      <c r="E36" s="25"/>
      <c r="F36" s="49">
        <v>75</v>
      </c>
      <c r="G36" s="25"/>
      <c r="H36" s="228">
        <v>75</v>
      </c>
      <c r="I36" s="25"/>
      <c r="J36" s="51"/>
      <c r="K36" s="51"/>
      <c r="L36" s="51"/>
      <c r="M36"/>
      <c r="N36"/>
      <c r="O36" s="18"/>
      <c r="P36" s="20"/>
      <c r="Q36" s="18"/>
      <c r="R36" s="20"/>
      <c r="S36" s="18"/>
      <c r="T36" s="20"/>
      <c r="U36" s="18"/>
      <c r="V36" s="1"/>
    </row>
    <row r="37" spans="2:26" ht="5.25" customHeight="1">
      <c r="B37" s="5"/>
      <c r="C37" s="6"/>
      <c r="D37" s="17"/>
      <c r="E37" s="25"/>
      <c r="F37" s="39"/>
      <c r="G37" s="25"/>
      <c r="H37" s="215"/>
      <c r="I37" s="25"/>
      <c r="J37" s="51"/>
      <c r="K37" s="51"/>
      <c r="L37" s="51"/>
      <c r="M37"/>
      <c r="N37"/>
      <c r="O37" s="18"/>
      <c r="P37" s="20"/>
      <c r="Q37" s="18"/>
      <c r="R37" s="20"/>
      <c r="S37" s="18"/>
      <c r="T37" s="20"/>
      <c r="U37" s="18"/>
      <c r="V37" s="1"/>
    </row>
    <row r="38" spans="2:26" ht="15.75" customHeight="1">
      <c r="B38" s="5"/>
      <c r="C38" s="6"/>
      <c r="D38" s="42" t="s">
        <v>56</v>
      </c>
      <c r="E38" s="25"/>
      <c r="F38" s="49">
        <v>20</v>
      </c>
      <c r="G38" s="25"/>
      <c r="H38" s="228">
        <v>20</v>
      </c>
      <c r="I38" s="25"/>
      <c r="J38" s="51"/>
      <c r="K38" s="51"/>
      <c r="L38" s="51"/>
      <c r="M38"/>
      <c r="N38"/>
      <c r="O38" s="18"/>
      <c r="P38" s="20"/>
      <c r="Q38" s="18"/>
      <c r="R38" s="20"/>
      <c r="S38" s="18"/>
      <c r="T38" s="20"/>
      <c r="U38" s="18"/>
      <c r="V38" s="1"/>
    </row>
    <row r="39" spans="2:26" ht="5.25" customHeight="1">
      <c r="B39" s="5"/>
      <c r="C39" s="6"/>
      <c r="D39" s="17"/>
      <c r="E39" s="25"/>
      <c r="F39" s="39"/>
      <c r="G39" s="25"/>
      <c r="H39" s="215"/>
      <c r="I39" s="25"/>
      <c r="J39" s="8"/>
      <c r="K39"/>
      <c r="L39"/>
      <c r="M39"/>
      <c r="N39"/>
      <c r="O39" s="18"/>
      <c r="P39" s="20"/>
      <c r="Q39" s="18"/>
      <c r="R39" s="20"/>
      <c r="S39" s="18"/>
      <c r="T39" s="20"/>
      <c r="U39" s="18"/>
      <c r="V39" s="1"/>
    </row>
    <row r="40" spans="2:26" ht="18" collapsed="1">
      <c r="B40" s="5"/>
      <c r="C40" s="41"/>
      <c r="D40" s="43" t="s">
        <v>80</v>
      </c>
      <c r="E40" s="43"/>
      <c r="F40" s="43"/>
      <c r="G40" s="43"/>
      <c r="H40" s="43"/>
      <c r="I40" s="43"/>
      <c r="J40" s="234" t="s">
        <v>209</v>
      </c>
      <c r="K40" s="43"/>
      <c r="L40" s="43"/>
      <c r="M40" s="43"/>
      <c r="N40"/>
      <c r="O40" s="41"/>
      <c r="P40" s="41"/>
      <c r="Q40" s="41"/>
      <c r="R40" s="41"/>
      <c r="S40" s="41"/>
      <c r="T40" s="41"/>
      <c r="U40" s="41"/>
      <c r="V40" s="1"/>
    </row>
    <row r="41" spans="2:26" ht="5.25" customHeight="1">
      <c r="B41" s="5"/>
      <c r="C41" s="6"/>
      <c r="D41" s="17"/>
      <c r="E41" s="25"/>
      <c r="F41" s="25"/>
      <c r="G41" s="25"/>
      <c r="H41" s="25"/>
      <c r="I41" s="25"/>
      <c r="J41" s="25"/>
      <c r="K41"/>
      <c r="L41"/>
      <c r="M41"/>
      <c r="N41"/>
      <c r="O41" s="18"/>
      <c r="P41" s="20"/>
      <c r="Q41" s="18"/>
      <c r="R41" s="20"/>
      <c r="S41" s="18"/>
      <c r="T41" s="20"/>
      <c r="U41" s="18"/>
      <c r="V41" s="1"/>
    </row>
    <row r="42" spans="2:26" ht="15" customHeight="1">
      <c r="B42" s="5"/>
      <c r="C42" s="6"/>
      <c r="D42" s="42" t="s">
        <v>40</v>
      </c>
      <c r="E42" s="25"/>
      <c r="F42" s="47">
        <v>0.5</v>
      </c>
      <c r="G42" s="25"/>
      <c r="H42" s="48">
        <v>0.5</v>
      </c>
      <c r="I42" s="25"/>
      <c r="J42" s="240"/>
      <c r="K42"/>
      <c r="L42"/>
      <c r="M42"/>
      <c r="N42"/>
      <c r="O42" s="18"/>
      <c r="P42" s="20"/>
      <c r="Q42" s="18"/>
      <c r="R42" s="20"/>
      <c r="S42" s="18"/>
      <c r="T42" s="20"/>
      <c r="U42" s="18"/>
      <c r="V42" s="1"/>
    </row>
    <row r="43" spans="2:26" ht="5.25" customHeight="1">
      <c r="B43" s="5"/>
      <c r="C43" s="6"/>
      <c r="D43" s="17"/>
      <c r="E43" s="25"/>
      <c r="F43" s="39"/>
      <c r="G43" s="25"/>
      <c r="H43" s="215"/>
      <c r="I43" s="25"/>
      <c r="J43" s="8"/>
      <c r="K43"/>
      <c r="L43"/>
      <c r="M43"/>
      <c r="N43"/>
      <c r="O43" s="18"/>
      <c r="P43" s="20"/>
      <c r="Q43" s="18"/>
      <c r="R43" s="20"/>
      <c r="S43" s="18"/>
      <c r="T43" s="20"/>
      <c r="U43" s="18"/>
      <c r="V43" s="1"/>
    </row>
    <row r="44" spans="2:26" ht="15" customHeight="1">
      <c r="B44" s="5"/>
      <c r="C44" s="6"/>
      <c r="D44" s="42" t="s">
        <v>57</v>
      </c>
      <c r="E44" s="25"/>
      <c r="F44" s="49">
        <v>45</v>
      </c>
      <c r="G44" s="25"/>
      <c r="H44" s="228">
        <v>45</v>
      </c>
      <c r="I44" s="25"/>
      <c r="J44" s="222"/>
      <c r="K44"/>
      <c r="L44"/>
      <c r="M44"/>
      <c r="N44"/>
      <c r="O44" s="18"/>
      <c r="P44" s="20"/>
      <c r="Q44" s="18"/>
      <c r="R44" s="20"/>
      <c r="S44" s="18"/>
      <c r="T44" s="20"/>
      <c r="U44" s="18"/>
      <c r="V44" s="1"/>
      <c r="Z44" s="237"/>
    </row>
    <row r="45" spans="2:26" ht="5.25" customHeight="1">
      <c r="B45" s="5"/>
      <c r="C45" s="6"/>
      <c r="D45" s="17"/>
      <c r="E45" s="25"/>
      <c r="F45" s="39"/>
      <c r="G45" s="25"/>
      <c r="H45" s="215"/>
      <c r="I45" s="25"/>
      <c r="J45" s="8"/>
      <c r="K45"/>
      <c r="L45"/>
      <c r="M45"/>
      <c r="N45"/>
      <c r="O45" s="18"/>
      <c r="P45" s="20"/>
      <c r="Q45" s="18"/>
      <c r="R45" s="20"/>
      <c r="S45" s="18"/>
      <c r="T45" s="20"/>
      <c r="U45" s="18"/>
      <c r="V45" s="1"/>
    </row>
    <row r="46" spans="2:26" ht="15" customHeight="1">
      <c r="B46" s="5"/>
      <c r="C46" s="6"/>
      <c r="D46" s="42" t="s">
        <v>58</v>
      </c>
      <c r="E46" s="25"/>
      <c r="F46" s="49">
        <v>20</v>
      </c>
      <c r="G46" s="25"/>
      <c r="H46" s="228">
        <v>20</v>
      </c>
      <c r="I46" s="25"/>
      <c r="J46" s="39"/>
      <c r="K46"/>
      <c r="L46"/>
      <c r="M46"/>
      <c r="N46"/>
      <c r="O46" s="18"/>
      <c r="P46" s="20"/>
      <c r="Q46" s="18"/>
      <c r="R46" s="20"/>
      <c r="S46" s="18"/>
      <c r="T46" s="20"/>
      <c r="U46" s="18"/>
      <c r="V46" s="1"/>
      <c r="Z46" s="237"/>
    </row>
    <row r="47" spans="2:26" ht="5.25" customHeight="1">
      <c r="B47" s="5"/>
      <c r="C47" s="6"/>
      <c r="D47" s="17"/>
      <c r="E47" s="25"/>
      <c r="F47" s="39"/>
      <c r="G47" s="25"/>
      <c r="H47" s="215"/>
      <c r="I47" s="25"/>
      <c r="J47" s="8"/>
      <c r="K47"/>
      <c r="L47"/>
      <c r="M47"/>
      <c r="N47"/>
      <c r="O47" s="18"/>
      <c r="P47" s="20"/>
      <c r="Q47" s="18"/>
      <c r="R47" s="20"/>
      <c r="S47" s="18"/>
      <c r="T47" s="20"/>
      <c r="U47" s="18"/>
      <c r="V47" s="1"/>
    </row>
    <row r="48" spans="2:26" ht="18" collapsed="1">
      <c r="B48" s="5"/>
      <c r="C48" s="41"/>
      <c r="D48" s="43" t="s">
        <v>81</v>
      </c>
      <c r="E48" s="43"/>
      <c r="F48" s="43"/>
      <c r="G48" s="43"/>
      <c r="H48" s="43"/>
      <c r="I48" s="43"/>
      <c r="J48" s="43"/>
      <c r="K48" s="43"/>
      <c r="L48" s="43"/>
      <c r="M48" s="43"/>
      <c r="N48"/>
      <c r="O48" s="41"/>
      <c r="P48" s="41"/>
      <c r="Q48" s="41"/>
      <c r="R48" s="41"/>
      <c r="S48" s="41"/>
      <c r="T48" s="41"/>
      <c r="U48" s="41"/>
      <c r="V48" s="1"/>
      <c r="Z48" s="237"/>
    </row>
    <row r="49" spans="2:26" ht="5.25" customHeight="1">
      <c r="B49" s="5"/>
      <c r="C49" s="6"/>
      <c r="D49" s="17"/>
      <c r="E49" s="25"/>
      <c r="F49" s="25"/>
      <c r="G49" s="25"/>
      <c r="H49" s="25"/>
      <c r="I49" s="25"/>
      <c r="J49" s="25"/>
      <c r="K49"/>
      <c r="L49"/>
      <c r="M49"/>
      <c r="N49"/>
      <c r="O49" s="18"/>
      <c r="P49" s="20"/>
      <c r="Q49" s="18"/>
      <c r="R49" s="20"/>
      <c r="S49" s="18"/>
      <c r="T49" s="20"/>
      <c r="U49" s="18"/>
      <c r="V49" s="1"/>
    </row>
    <row r="50" spans="2:26" ht="15.75" customHeight="1">
      <c r="B50" s="5"/>
      <c r="C50" s="6"/>
      <c r="D50" s="42" t="s">
        <v>41</v>
      </c>
      <c r="E50" s="25"/>
      <c r="F50" s="49">
        <v>2</v>
      </c>
      <c r="G50" s="25"/>
      <c r="H50" s="228">
        <v>2</v>
      </c>
      <c r="I50" s="25"/>
      <c r="J50" s="39"/>
      <c r="K50"/>
      <c r="L50"/>
      <c r="M50"/>
      <c r="N50"/>
      <c r="O50" s="18"/>
      <c r="P50" s="20"/>
      <c r="Q50" s="18"/>
      <c r="R50" s="20"/>
      <c r="S50" s="18"/>
      <c r="T50" s="20"/>
      <c r="U50" s="18"/>
      <c r="V50" s="1"/>
      <c r="Z50" s="238"/>
    </row>
    <row r="51" spans="2:26" ht="5.25" customHeight="1">
      <c r="B51" s="5"/>
      <c r="C51" s="6"/>
      <c r="D51" s="17"/>
      <c r="E51" s="25"/>
      <c r="F51" s="39"/>
      <c r="G51" s="25"/>
      <c r="H51" s="215"/>
      <c r="I51" s="25"/>
      <c r="J51" s="8"/>
      <c r="K51"/>
      <c r="L51"/>
      <c r="M51"/>
      <c r="N51"/>
      <c r="O51" s="18"/>
      <c r="P51" s="20"/>
      <c r="Q51" s="18"/>
      <c r="R51" s="20"/>
      <c r="S51" s="18"/>
      <c r="T51" s="20"/>
      <c r="U51" s="18"/>
      <c r="V51" s="1"/>
    </row>
    <row r="52" spans="2:26" ht="18">
      <c r="B52" s="5"/>
      <c r="C52" s="41"/>
      <c r="D52" s="42" t="s">
        <v>59</v>
      </c>
      <c r="E52" s="40"/>
      <c r="F52" s="49">
        <v>10</v>
      </c>
      <c r="G52" s="25"/>
      <c r="H52" s="228">
        <v>10</v>
      </c>
      <c r="I52" s="25"/>
      <c r="J52" s="222"/>
      <c r="K52"/>
      <c r="L52"/>
      <c r="M52"/>
      <c r="N52"/>
      <c r="O52" s="41"/>
      <c r="P52" s="41"/>
      <c r="Q52" s="41"/>
      <c r="R52" s="41"/>
      <c r="S52" s="41"/>
      <c r="T52" s="41"/>
      <c r="U52" s="41"/>
      <c r="V52" s="1"/>
    </row>
    <row r="53" spans="2:26" ht="5.25" customHeight="1">
      <c r="B53" s="5"/>
      <c r="C53" s="6"/>
      <c r="D53" s="17"/>
      <c r="E53" s="25"/>
      <c r="F53" s="39"/>
      <c r="G53" s="25"/>
      <c r="H53" s="215"/>
      <c r="I53" s="25"/>
      <c r="J53" s="8"/>
      <c r="K53"/>
      <c r="L53"/>
      <c r="M53"/>
      <c r="N53"/>
      <c r="O53" s="18"/>
      <c r="P53" s="20"/>
      <c r="Q53" s="18"/>
      <c r="R53" s="20"/>
      <c r="S53" s="18"/>
      <c r="T53" s="20"/>
      <c r="U53" s="18"/>
      <c r="V53" s="1"/>
    </row>
    <row r="54" spans="2:26" ht="15.75" customHeight="1">
      <c r="B54" s="5"/>
      <c r="C54" s="6"/>
      <c r="D54" s="42" t="s">
        <v>42</v>
      </c>
      <c r="E54" s="25"/>
      <c r="F54" s="49">
        <v>1</v>
      </c>
      <c r="G54" s="25"/>
      <c r="H54" s="228">
        <v>1</v>
      </c>
      <c r="I54" s="25"/>
      <c r="J54" s="39"/>
      <c r="K54"/>
      <c r="L54"/>
      <c r="M54"/>
      <c r="N54"/>
      <c r="O54" s="18"/>
      <c r="P54" s="20"/>
      <c r="Q54" s="18"/>
      <c r="R54" s="20"/>
      <c r="S54" s="18"/>
      <c r="T54" s="20"/>
      <c r="U54" s="18"/>
      <c r="V54" s="1"/>
    </row>
    <row r="55" spans="2:26" ht="5.25" customHeight="1">
      <c r="B55" s="5"/>
      <c r="C55" s="6"/>
      <c r="D55" s="17"/>
      <c r="E55" s="25"/>
      <c r="F55" s="39"/>
      <c r="G55" s="25"/>
      <c r="H55" s="215"/>
      <c r="I55" s="25"/>
      <c r="J55" s="8"/>
      <c r="K55"/>
      <c r="L55"/>
      <c r="M55"/>
      <c r="N55"/>
      <c r="O55" s="18"/>
      <c r="P55" s="20"/>
      <c r="Q55" s="18"/>
      <c r="R55" s="20"/>
      <c r="S55" s="18"/>
      <c r="T55" s="20"/>
      <c r="U55" s="18"/>
      <c r="V55" s="1"/>
    </row>
    <row r="56" spans="2:26" ht="18">
      <c r="B56" s="5"/>
      <c r="C56" s="41"/>
      <c r="D56" s="42" t="s">
        <v>97</v>
      </c>
      <c r="E56" s="40"/>
      <c r="F56" s="49">
        <v>1</v>
      </c>
      <c r="G56" s="25"/>
      <c r="H56" s="228">
        <v>1</v>
      </c>
      <c r="I56" s="25"/>
      <c r="J56" s="39"/>
      <c r="K56"/>
      <c r="L56"/>
      <c r="M56"/>
      <c r="N56"/>
      <c r="O56" s="41"/>
      <c r="P56" s="41"/>
      <c r="Q56" s="41"/>
      <c r="R56" s="41"/>
      <c r="S56" s="41"/>
      <c r="T56" s="41"/>
      <c r="U56" s="41"/>
      <c r="V56" s="1"/>
    </row>
    <row r="57" spans="2:26" ht="5.25" customHeight="1">
      <c r="B57" s="5"/>
      <c r="C57" s="6"/>
      <c r="D57" s="17"/>
      <c r="E57" s="25"/>
      <c r="F57" s="39"/>
      <c r="G57" s="25"/>
      <c r="H57" s="215"/>
      <c r="I57" s="25"/>
      <c r="J57" s="8"/>
      <c r="K57"/>
      <c r="L57"/>
      <c r="M57"/>
      <c r="N57"/>
      <c r="O57" s="18"/>
      <c r="P57" s="20"/>
      <c r="Q57" s="18"/>
      <c r="R57" s="20"/>
      <c r="S57" s="18"/>
      <c r="T57" s="20"/>
      <c r="U57" s="18"/>
      <c r="V57" s="1"/>
    </row>
    <row r="58" spans="2:26" ht="18" collapsed="1">
      <c r="B58" s="5"/>
      <c r="C58" s="41"/>
      <c r="D58" s="43" t="s">
        <v>102</v>
      </c>
      <c r="E58" s="43"/>
      <c r="F58" s="43"/>
      <c r="G58" s="43"/>
      <c r="H58" s="43"/>
      <c r="I58" s="43"/>
      <c r="J58" s="235"/>
      <c r="K58" s="43"/>
      <c r="L58" s="43"/>
      <c r="M58" s="43"/>
      <c r="N58"/>
      <c r="O58" s="41"/>
      <c r="P58" s="41"/>
      <c r="Q58" s="41"/>
      <c r="R58" s="41"/>
      <c r="S58" s="41"/>
      <c r="T58" s="41"/>
      <c r="U58" s="41"/>
      <c r="V58" s="1"/>
    </row>
    <row r="59" spans="2:26" ht="5.25" customHeight="1">
      <c r="B59" s="5"/>
      <c r="C59" s="6"/>
      <c r="D59" s="17"/>
      <c r="E59" s="25"/>
      <c r="F59" s="25"/>
      <c r="G59" s="25"/>
      <c r="H59" s="25"/>
      <c r="I59" s="25"/>
      <c r="J59" s="25"/>
      <c r="K59"/>
      <c r="L59"/>
      <c r="M59"/>
      <c r="N59"/>
      <c r="O59" s="18"/>
      <c r="P59" s="20"/>
      <c r="Q59" s="18"/>
      <c r="R59" s="20"/>
      <c r="S59" s="18"/>
      <c r="T59" s="20"/>
      <c r="U59" s="18"/>
      <c r="V59" s="1"/>
    </row>
    <row r="60" spans="2:26" ht="15.75" customHeight="1">
      <c r="B60" s="5"/>
      <c r="C60" s="6"/>
      <c r="D60" s="42" t="s">
        <v>103</v>
      </c>
      <c r="E60" s="25"/>
      <c r="F60" s="47">
        <v>0.09</v>
      </c>
      <c r="G60" s="25"/>
      <c r="H60" s="48">
        <v>0.09</v>
      </c>
      <c r="I60" s="25"/>
      <c r="J60" s="222"/>
      <c r="K60"/>
      <c r="L60"/>
      <c r="M60"/>
      <c r="N60"/>
      <c r="O60" s="18"/>
      <c r="P60" s="20"/>
      <c r="Q60" s="18"/>
      <c r="R60" s="20"/>
      <c r="S60" s="18"/>
      <c r="T60" s="20"/>
      <c r="U60" s="18"/>
      <c r="V60" s="1"/>
    </row>
    <row r="61" spans="2:26" ht="5.25" customHeight="1">
      <c r="B61" s="5"/>
      <c r="C61" s="6"/>
      <c r="D61" s="17"/>
      <c r="E61" s="25"/>
      <c r="F61" s="233"/>
      <c r="G61" s="25"/>
      <c r="H61" s="233"/>
      <c r="I61" s="25"/>
      <c r="J61" s="8"/>
      <c r="K61"/>
      <c r="L61"/>
      <c r="M61"/>
      <c r="N61"/>
      <c r="O61" s="18"/>
      <c r="P61" s="20"/>
      <c r="Q61" s="18"/>
      <c r="R61" s="20"/>
      <c r="S61" s="18"/>
      <c r="T61" s="20"/>
      <c r="U61" s="18"/>
      <c r="V61" s="1"/>
    </row>
    <row r="62" spans="2:26" ht="18">
      <c r="B62" s="5"/>
      <c r="C62" s="41"/>
      <c r="D62" s="42" t="s">
        <v>220</v>
      </c>
      <c r="E62" s="40"/>
      <c r="F62" s="47">
        <v>0.1</v>
      </c>
      <c r="G62" s="25"/>
      <c r="H62" s="48">
        <v>0.1</v>
      </c>
      <c r="I62" s="25"/>
      <c r="J62" s="233"/>
      <c r="K62"/>
      <c r="L62"/>
      <c r="M62"/>
      <c r="N62"/>
      <c r="O62" s="41"/>
      <c r="P62" s="41"/>
      <c r="Q62" s="41"/>
      <c r="R62" s="41"/>
      <c r="S62" s="41"/>
      <c r="T62" s="41"/>
      <c r="U62" s="41"/>
      <c r="V62" s="1"/>
    </row>
    <row r="63" spans="2:26" ht="5.25" customHeight="1">
      <c r="B63" s="5"/>
      <c r="C63" s="6"/>
      <c r="D63" s="17"/>
      <c r="E63" s="25"/>
      <c r="F63" s="239"/>
      <c r="G63" s="25"/>
      <c r="H63" s="239"/>
      <c r="I63" s="25"/>
      <c r="J63" s="8"/>
      <c r="K63"/>
      <c r="L63"/>
      <c r="M63"/>
      <c r="N63"/>
      <c r="O63" s="18"/>
      <c r="P63" s="20"/>
      <c r="Q63" s="18"/>
      <c r="R63" s="20"/>
      <c r="S63" s="18"/>
      <c r="T63" s="20"/>
      <c r="U63" s="18"/>
      <c r="V63" s="1"/>
    </row>
    <row r="64" spans="2:26" ht="18">
      <c r="B64" s="5"/>
      <c r="C64" s="41"/>
      <c r="D64" s="42" t="s">
        <v>221</v>
      </c>
      <c r="E64" s="40"/>
      <c r="F64" s="49">
        <v>3</v>
      </c>
      <c r="G64" s="25"/>
      <c r="H64" s="228">
        <v>3</v>
      </c>
      <c r="I64" s="25"/>
      <c r="J64" s="246" t="s">
        <v>227</v>
      </c>
      <c r="K64"/>
      <c r="L64"/>
      <c r="M64"/>
      <c r="N64"/>
      <c r="O64" s="41"/>
      <c r="P64" s="41"/>
      <c r="Q64" s="41"/>
      <c r="R64" s="41"/>
      <c r="S64" s="41"/>
      <c r="T64" s="41"/>
      <c r="U64" s="41"/>
      <c r="V64" s="1"/>
    </row>
    <row r="65" spans="2:22" ht="5.25" customHeight="1">
      <c r="B65" s="5"/>
      <c r="C65" s="6"/>
      <c r="D65" s="17"/>
      <c r="E65" s="25"/>
      <c r="F65" s="84"/>
      <c r="G65" s="25"/>
      <c r="H65" s="215"/>
      <c r="I65" s="25"/>
      <c r="J65" s="8"/>
      <c r="K65"/>
      <c r="L65"/>
      <c r="M65"/>
      <c r="N65"/>
      <c r="O65" s="18"/>
      <c r="P65" s="20"/>
      <c r="Q65" s="18"/>
      <c r="R65" s="20"/>
      <c r="S65" s="18"/>
      <c r="T65" s="20"/>
      <c r="U65" s="18"/>
      <c r="V65" s="1"/>
    </row>
    <row r="66" spans="2:22" ht="5.25" customHeight="1">
      <c r="B66" s="5"/>
      <c r="C66" s="6"/>
      <c r="D66" s="17"/>
      <c r="E66" s="25"/>
      <c r="F66" s="215"/>
      <c r="G66" s="25"/>
      <c r="H66" s="215"/>
      <c r="I66" s="25"/>
      <c r="J66" s="8"/>
      <c r="K66"/>
      <c r="L66"/>
      <c r="M66"/>
      <c r="N66"/>
      <c r="O66" s="18"/>
      <c r="P66" s="20"/>
      <c r="Q66" s="18"/>
      <c r="R66" s="20"/>
      <c r="S66" s="18"/>
      <c r="T66" s="20"/>
      <c r="U66" s="18"/>
      <c r="V66" s="1"/>
    </row>
    <row r="67" spans="2:22" ht="18" collapsed="1">
      <c r="B67" s="5"/>
      <c r="C67" s="41"/>
      <c r="D67" s="43" t="s">
        <v>34</v>
      </c>
      <c r="E67" s="43"/>
      <c r="F67" s="43"/>
      <c r="G67" s="43"/>
      <c r="H67" s="43"/>
      <c r="I67" s="43"/>
      <c r="J67" s="43"/>
      <c r="K67" s="43"/>
      <c r="L67" s="43"/>
      <c r="M67" s="43"/>
      <c r="N67"/>
      <c r="O67" s="41"/>
      <c r="P67" s="41"/>
      <c r="Q67" s="41"/>
      <c r="R67" s="41"/>
      <c r="S67" s="41"/>
      <c r="T67" s="41"/>
      <c r="U67" s="41"/>
      <c r="V67" s="1"/>
    </row>
    <row r="68" spans="2:22" ht="5.25" customHeight="1">
      <c r="B68" s="5"/>
      <c r="C68" s="6"/>
      <c r="D68" s="17"/>
      <c r="E68" s="25"/>
      <c r="F68" s="25"/>
      <c r="G68" s="25"/>
      <c r="H68" s="25"/>
      <c r="I68" s="25"/>
      <c r="J68" s="25"/>
      <c r="K68"/>
      <c r="L68"/>
      <c r="M68"/>
      <c r="N68"/>
      <c r="O68" s="18"/>
      <c r="P68" s="20"/>
      <c r="Q68" s="18"/>
      <c r="R68" s="20"/>
      <c r="S68" s="18"/>
      <c r="T68" s="20"/>
      <c r="U68" s="18"/>
      <c r="V68" s="1"/>
    </row>
    <row r="69" spans="2:22" ht="15.75" customHeight="1">
      <c r="B69" s="5"/>
      <c r="C69" s="6"/>
      <c r="D69" s="42" t="s">
        <v>104</v>
      </c>
      <c r="E69" s="25"/>
      <c r="F69" s="49">
        <v>40</v>
      </c>
      <c r="G69" s="25"/>
      <c r="H69" s="228">
        <v>40</v>
      </c>
      <c r="I69" s="25"/>
      <c r="J69" s="222" t="s">
        <v>208</v>
      </c>
      <c r="K69"/>
      <c r="L69"/>
      <c r="M69"/>
      <c r="N69"/>
      <c r="O69" s="18"/>
      <c r="P69" s="20"/>
      <c r="Q69" s="18"/>
      <c r="R69" s="20"/>
      <c r="S69" s="18"/>
      <c r="T69" s="20"/>
      <c r="U69" s="18"/>
      <c r="V69" s="1"/>
    </row>
    <row r="70" spans="2:22" ht="5.25" customHeight="1">
      <c r="B70" s="5"/>
      <c r="C70" s="6"/>
      <c r="D70" s="17"/>
      <c r="E70" s="25"/>
      <c r="F70" s="39"/>
      <c r="G70" s="25"/>
      <c r="H70" s="215"/>
      <c r="I70" s="25"/>
      <c r="J70" s="8"/>
      <c r="K70"/>
      <c r="L70"/>
      <c r="M70"/>
      <c r="N70"/>
      <c r="O70" s="18"/>
      <c r="P70" s="20"/>
      <c r="Q70" s="18"/>
      <c r="R70" s="20"/>
      <c r="S70" s="18"/>
      <c r="T70" s="20"/>
      <c r="U70" s="18"/>
      <c r="V70" s="1"/>
    </row>
    <row r="71" spans="2:22" ht="18">
      <c r="B71" s="5"/>
      <c r="C71" s="41"/>
      <c r="D71" s="42" t="s">
        <v>35</v>
      </c>
      <c r="E71" s="40"/>
      <c r="F71" s="49">
        <v>10</v>
      </c>
      <c r="G71" s="25"/>
      <c r="H71" s="228">
        <v>10</v>
      </c>
      <c r="I71" s="25"/>
      <c r="J71" s="39"/>
      <c r="K71"/>
      <c r="L71"/>
      <c r="M71"/>
      <c r="N71"/>
      <c r="O71" s="41"/>
      <c r="P71" s="41"/>
      <c r="Q71" s="41"/>
      <c r="R71" s="41"/>
      <c r="S71" s="41"/>
      <c r="T71" s="41"/>
      <c r="U71" s="41"/>
      <c r="V71" s="1"/>
    </row>
    <row r="72" spans="2:22" ht="5.25" customHeight="1">
      <c r="B72" s="5"/>
      <c r="C72" s="6"/>
      <c r="D72" s="17"/>
      <c r="E72" s="25"/>
      <c r="F72" s="39"/>
      <c r="G72" s="25"/>
      <c r="H72" s="215"/>
      <c r="I72" s="25"/>
      <c r="J72" s="8"/>
      <c r="K72"/>
      <c r="L72"/>
      <c r="M72"/>
      <c r="N72"/>
      <c r="O72" s="18"/>
      <c r="P72" s="20"/>
      <c r="Q72" s="18"/>
      <c r="R72" s="20"/>
      <c r="S72" s="18"/>
      <c r="T72" s="20"/>
      <c r="U72" s="18"/>
      <c r="V72" s="1"/>
    </row>
    <row r="73" spans="2:22" ht="18">
      <c r="B73" s="5"/>
      <c r="C73" s="41"/>
      <c r="D73" s="42" t="s">
        <v>64</v>
      </c>
      <c r="E73" s="40"/>
      <c r="F73" s="50">
        <v>15</v>
      </c>
      <c r="G73" s="25"/>
      <c r="H73" s="229">
        <v>15</v>
      </c>
      <c r="I73" s="25"/>
      <c r="J73" s="39"/>
      <c r="K73"/>
      <c r="L73"/>
      <c r="M73"/>
      <c r="N73"/>
      <c r="O73" s="41"/>
      <c r="P73" s="41"/>
      <c r="Q73" s="41"/>
      <c r="R73" s="41"/>
      <c r="S73" s="41"/>
      <c r="T73" s="41"/>
      <c r="U73" s="41"/>
      <c r="V73" s="1"/>
    </row>
    <row r="74" spans="2:22" ht="5.25" customHeight="1">
      <c r="B74" s="5"/>
      <c r="C74" s="6"/>
      <c r="D74" s="17"/>
      <c r="E74" s="25"/>
      <c r="F74" s="39"/>
      <c r="G74" s="25"/>
      <c r="H74" s="215"/>
      <c r="I74" s="25"/>
      <c r="J74" s="8"/>
      <c r="K74"/>
      <c r="L74"/>
      <c r="M74"/>
      <c r="N74"/>
      <c r="O74" s="18"/>
      <c r="P74" s="20"/>
      <c r="Q74" s="18"/>
      <c r="R74" s="20"/>
      <c r="S74" s="18"/>
      <c r="T74" s="20"/>
      <c r="U74" s="18"/>
      <c r="V74" s="1"/>
    </row>
    <row r="75" spans="2:22" ht="18">
      <c r="B75" s="5"/>
      <c r="C75" s="41"/>
      <c r="D75" s="42" t="s">
        <v>65</v>
      </c>
      <c r="E75" s="40"/>
      <c r="F75" s="50">
        <v>15</v>
      </c>
      <c r="G75" s="25"/>
      <c r="H75" s="229">
        <v>15</v>
      </c>
      <c r="I75" s="25"/>
      <c r="J75" s="39"/>
      <c r="K75"/>
      <c r="L75"/>
      <c r="M75"/>
      <c r="N75"/>
      <c r="O75" s="41"/>
      <c r="P75" s="41"/>
      <c r="Q75" s="41"/>
      <c r="R75" s="41"/>
      <c r="S75" s="41"/>
      <c r="T75" s="41"/>
      <c r="U75" s="41"/>
      <c r="V75" s="1"/>
    </row>
    <row r="76" spans="2:22" ht="5.25" customHeight="1">
      <c r="B76" s="5"/>
      <c r="C76" s="6"/>
      <c r="D76" s="17"/>
      <c r="E76" s="25"/>
      <c r="F76" s="39"/>
      <c r="G76" s="25"/>
      <c r="H76" s="215"/>
      <c r="I76" s="25"/>
      <c r="J76" s="8"/>
      <c r="K76"/>
      <c r="L76"/>
      <c r="M76"/>
      <c r="N76"/>
      <c r="O76" s="18"/>
      <c r="P76" s="20"/>
      <c r="Q76" s="18"/>
      <c r="R76" s="20"/>
      <c r="S76" s="18"/>
      <c r="T76" s="20"/>
      <c r="U76" s="18"/>
      <c r="V76" s="1"/>
    </row>
    <row r="77" spans="2:22" ht="18">
      <c r="B77" s="5"/>
      <c r="C77" s="41"/>
      <c r="D77" s="42" t="s">
        <v>66</v>
      </c>
      <c r="E77" s="40"/>
      <c r="F77" s="50">
        <v>20</v>
      </c>
      <c r="G77" s="25"/>
      <c r="H77" s="229">
        <v>20</v>
      </c>
      <c r="I77" s="25"/>
      <c r="J77" s="39"/>
      <c r="K77"/>
      <c r="L77"/>
      <c r="M77"/>
      <c r="N77"/>
      <c r="O77" s="41"/>
      <c r="P77" s="41"/>
      <c r="Q77" s="41"/>
      <c r="R77" s="41"/>
      <c r="S77" s="41"/>
      <c r="T77" s="41"/>
      <c r="U77" s="41"/>
      <c r="V77" s="1"/>
    </row>
    <row r="78" spans="2:22" ht="5.25" customHeight="1">
      <c r="B78" s="5"/>
      <c r="C78" s="6"/>
      <c r="D78" s="17"/>
      <c r="E78" s="25"/>
      <c r="F78" s="39"/>
      <c r="G78" s="25"/>
      <c r="H78" s="215"/>
      <c r="I78" s="25"/>
      <c r="J78" s="8"/>
      <c r="K78"/>
      <c r="L78"/>
      <c r="M78"/>
      <c r="N78"/>
      <c r="O78" s="18"/>
      <c r="P78" s="20"/>
      <c r="Q78" s="18"/>
      <c r="R78" s="20"/>
      <c r="S78" s="18"/>
      <c r="T78" s="20"/>
      <c r="U78" s="18"/>
      <c r="V78" s="1"/>
    </row>
    <row r="79" spans="2:22" ht="18">
      <c r="B79" s="5"/>
      <c r="C79" s="41"/>
      <c r="D79" s="42" t="s">
        <v>67</v>
      </c>
      <c r="E79" s="40"/>
      <c r="F79" s="50">
        <v>30</v>
      </c>
      <c r="G79" s="25"/>
      <c r="H79" s="229">
        <v>30</v>
      </c>
      <c r="I79" s="25"/>
      <c r="J79" s="39"/>
      <c r="K79"/>
      <c r="L79"/>
      <c r="M79"/>
      <c r="N79"/>
      <c r="O79" s="41"/>
      <c r="P79" s="41"/>
      <c r="Q79" s="41"/>
      <c r="R79" s="41"/>
      <c r="S79" s="41"/>
      <c r="T79" s="41"/>
      <c r="U79" s="41"/>
      <c r="V79" s="1"/>
    </row>
    <row r="80" spans="2:22" ht="5.25" customHeight="1">
      <c r="B80" s="5"/>
      <c r="C80" s="6"/>
      <c r="D80" s="17"/>
      <c r="E80" s="25"/>
      <c r="F80" s="39"/>
      <c r="G80" s="25"/>
      <c r="H80" s="8"/>
      <c r="I80" s="25"/>
      <c r="J80" s="8"/>
      <c r="K80"/>
      <c r="L80"/>
      <c r="M80"/>
      <c r="N80"/>
      <c r="O80" s="18"/>
      <c r="P80" s="20"/>
      <c r="Q80" s="18"/>
      <c r="R80" s="20"/>
      <c r="S80" s="18"/>
      <c r="T80" s="20"/>
      <c r="U80" s="18"/>
      <c r="V80" s="1"/>
    </row>
    <row r="81" spans="2:22" ht="18" collapsed="1">
      <c r="B81" s="5"/>
      <c r="C81" s="308"/>
      <c r="D81" s="308"/>
      <c r="E81" s="308"/>
      <c r="F81" s="308"/>
      <c r="G81" s="308"/>
      <c r="H81" s="308"/>
      <c r="I81" s="308"/>
      <c r="J81" s="308"/>
      <c r="K81" s="308"/>
      <c r="L81" s="308"/>
      <c r="M81" s="308"/>
      <c r="N81" s="308"/>
      <c r="O81" s="308"/>
      <c r="P81" s="308"/>
      <c r="Q81" s="308"/>
      <c r="R81" s="308"/>
      <c r="S81" s="308"/>
      <c r="T81" s="308"/>
      <c r="U81" s="38"/>
      <c r="V81" s="1"/>
    </row>
    <row r="86" spans="2:22" ht="15.75">
      <c r="D86"/>
      <c r="E86"/>
      <c r="F86"/>
      <c r="G86"/>
      <c r="I86"/>
    </row>
    <row r="87" spans="2:22" ht="15.75">
      <c r="D87"/>
      <c r="E87"/>
      <c r="F87"/>
      <c r="G87"/>
      <c r="I87"/>
    </row>
    <row r="88" spans="2:22" ht="15.75">
      <c r="D88"/>
      <c r="E88"/>
      <c r="F88"/>
      <c r="G88"/>
      <c r="I88"/>
    </row>
    <row r="89" spans="2:22" ht="15.75">
      <c r="D89"/>
      <c r="E89"/>
      <c r="F89"/>
      <c r="G89"/>
      <c r="I89"/>
    </row>
    <row r="90" spans="2:22" ht="15.75">
      <c r="D90"/>
      <c r="E90"/>
      <c r="F90"/>
      <c r="G90"/>
      <c r="I90"/>
    </row>
  </sheetData>
  <mergeCells count="8">
    <mergeCell ref="C81:T81"/>
    <mergeCell ref="C2:T2"/>
    <mergeCell ref="C3:T3"/>
    <mergeCell ref="C23:T23"/>
    <mergeCell ref="B4:U4"/>
    <mergeCell ref="J25:L25"/>
    <mergeCell ref="J30:L30"/>
    <mergeCell ref="J28:M28"/>
  </mergeCells>
  <conditionalFormatting sqref="H12 H16 H14">
    <cfRule type="expression" dxfId="55" priority="83">
      <formula>E12=worker_select_name</formula>
    </cfRule>
  </conditionalFormatting>
  <conditionalFormatting sqref="F16 F11:F12 F14 F18">
    <cfRule type="expression" dxfId="54" priority="82">
      <formula>#REF!=worker_select_name</formula>
    </cfRule>
  </conditionalFormatting>
  <conditionalFormatting sqref="H20">
    <cfRule type="expression" dxfId="53" priority="72">
      <formula>E20=worker_select_name</formula>
    </cfRule>
  </conditionalFormatting>
  <conditionalFormatting sqref="F13">
    <cfRule type="expression" dxfId="52" priority="81">
      <formula>#REF!=worker_select_name</formula>
    </cfRule>
  </conditionalFormatting>
  <conditionalFormatting sqref="F15">
    <cfRule type="expression" dxfId="51" priority="80">
      <formula>#REF!=worker_select_name</formula>
    </cfRule>
  </conditionalFormatting>
  <conditionalFormatting sqref="H11">
    <cfRule type="expression" dxfId="50" priority="79">
      <formula>E11=worker_select_name</formula>
    </cfRule>
  </conditionalFormatting>
  <conditionalFormatting sqref="H13">
    <cfRule type="expression" dxfId="49" priority="78">
      <formula>E13=worker_select_name</formula>
    </cfRule>
  </conditionalFormatting>
  <conditionalFormatting sqref="H15">
    <cfRule type="expression" dxfId="48" priority="77">
      <formula>E15=worker_select_name</formula>
    </cfRule>
  </conditionalFormatting>
  <conditionalFormatting sqref="F20">
    <cfRule type="expression" dxfId="47" priority="73">
      <formula>#REF!=worker_select_name</formula>
    </cfRule>
  </conditionalFormatting>
  <conditionalFormatting sqref="J11">
    <cfRule type="expression" dxfId="46" priority="70">
      <formula>#REF!=worker_select_name</formula>
    </cfRule>
  </conditionalFormatting>
  <conditionalFormatting sqref="J13">
    <cfRule type="expression" dxfId="45" priority="69">
      <formula>#REF!=worker_select_name</formula>
    </cfRule>
  </conditionalFormatting>
  <conditionalFormatting sqref="J15">
    <cfRule type="expression" dxfId="44" priority="68">
      <formula>#REF!=worker_select_name</formula>
    </cfRule>
  </conditionalFormatting>
  <conditionalFormatting sqref="J20">
    <cfRule type="expression" dxfId="43" priority="67">
      <formula>#REF!=worker_select_name</formula>
    </cfRule>
  </conditionalFormatting>
  <conditionalFormatting sqref="H18">
    <cfRule type="expression" dxfId="42" priority="5">
      <formula>E18=worker_select_name</formula>
    </cfRule>
  </conditionalFormatting>
  <conditionalFormatting sqref="F17">
    <cfRule type="expression" dxfId="41" priority="4">
      <formula>#REF!=worker_select_name</formula>
    </cfRule>
  </conditionalFormatting>
  <conditionalFormatting sqref="H17">
    <cfRule type="expression" dxfId="40" priority="3">
      <formula>E17=worker_select_name</formula>
    </cfRule>
  </conditionalFormatting>
  <conditionalFormatting sqref="J17">
    <cfRule type="expression" dxfId="39" priority="1">
      <formula>#REF!=worker_select_name</formula>
    </cfRule>
  </conditionalFormatting>
  <dataValidations count="1">
    <dataValidation type="list" allowBlank="1" showInputMessage="1" showErrorMessage="1" sqref="F6">
      <formula1>option_results_time</formula1>
    </dataValidation>
  </dataValidations>
  <pageMargins left="0.7" right="0.7" top="0.75" bottom="0.75" header="0.3" footer="0.3"/>
  <pageSetup scale="74"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108568" r:id="rId4" name="Button 24">
              <controlPr defaultSize="0" print="0" autoFill="0" autoPict="0" macro="[0]!Defaults_Staff">
                <anchor moveWithCells="1" sizeWithCells="1">
                  <from>
                    <xdr:col>11</xdr:col>
                    <xdr:colOff>533400</xdr:colOff>
                    <xdr:row>9</xdr:row>
                    <xdr:rowOff>38100</xdr:rowOff>
                  </from>
                  <to>
                    <xdr:col>12</xdr:col>
                    <xdr:colOff>323850</xdr:colOff>
                    <xdr:row>15</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rgb="FF323372"/>
    <outlinePr showOutlineSymbols="0"/>
  </sheetPr>
  <dimension ref="A1:V98"/>
  <sheetViews>
    <sheetView showGridLines="0" showOutlineSymbols="0" zoomScale="70" zoomScaleNormal="70" workbookViewId="0"/>
  </sheetViews>
  <sheetFormatPr defaultColWidth="9.125" defaultRowHeight="14.25"/>
  <cols>
    <col min="1" max="1" width="8.875" style="163" customWidth="1"/>
    <col min="2" max="2" width="2.625" style="163" customWidth="1"/>
    <col min="3" max="3" width="4" style="163" customWidth="1"/>
    <col min="4" max="4" width="49.5" style="163" customWidth="1"/>
    <col min="5" max="5" width="15.5" style="163" customWidth="1"/>
    <col min="6" max="6" width="29.875" style="163" customWidth="1"/>
    <col min="7" max="7" width="3.875" style="163" customWidth="1"/>
    <col min="8" max="8" width="24.5" style="163" customWidth="1"/>
    <col min="9" max="9" width="3.875" style="163" customWidth="1"/>
    <col min="10" max="10" width="32.125" style="163" customWidth="1"/>
    <col min="11" max="11" width="3.875" style="163" customWidth="1"/>
    <col min="12" max="12" width="33" style="163" customWidth="1"/>
    <col min="13" max="13" width="3.625" style="163" customWidth="1"/>
    <col min="14" max="14" width="33.625" style="163" customWidth="1"/>
    <col min="15" max="15" width="3.625" style="163" customWidth="1"/>
    <col min="16" max="16" width="36.125" style="163" bestFit="1" customWidth="1"/>
    <col min="17" max="17" width="3.625" style="163" customWidth="1"/>
    <col min="18" max="18" width="3.125" style="163" customWidth="1"/>
    <col min="19" max="19" width="21.125" style="163" hidden="1" customWidth="1"/>
    <col min="20" max="20" width="16.75" style="163" hidden="1" customWidth="1"/>
    <col min="21" max="21" width="4.875" style="163" hidden="1" customWidth="1"/>
    <col min="22" max="22" width="42.125" style="163" hidden="1" customWidth="1"/>
    <col min="23" max="23" width="4.375" style="163" customWidth="1"/>
    <col min="24" max="24" width="2.75" style="163" customWidth="1"/>
    <col min="25" max="16384" width="9.125" style="163"/>
  </cols>
  <sheetData>
    <row r="1" spans="1:22">
      <c r="A1" s="162"/>
    </row>
    <row r="2" spans="1:22" ht="15">
      <c r="B2" s="164"/>
      <c r="C2" s="315"/>
      <c r="D2" s="315"/>
      <c r="E2" s="315"/>
      <c r="F2" s="315"/>
      <c r="G2" s="315"/>
      <c r="H2" s="315"/>
      <c r="I2" s="315"/>
      <c r="J2" s="315"/>
      <c r="K2" s="315"/>
      <c r="L2" s="315"/>
      <c r="M2" s="315"/>
      <c r="N2" s="315"/>
      <c r="O2" s="315"/>
      <c r="P2" s="165"/>
      <c r="Q2" s="165"/>
      <c r="R2" s="165"/>
    </row>
    <row r="3" spans="1:22" ht="45" customHeight="1">
      <c r="B3" s="164"/>
      <c r="C3" s="317" t="s">
        <v>108</v>
      </c>
      <c r="D3" s="317"/>
      <c r="E3" s="317"/>
      <c r="F3" s="317"/>
      <c r="G3" s="317"/>
      <c r="H3" s="317"/>
      <c r="I3" s="317"/>
      <c r="J3" s="317"/>
      <c r="K3" s="317"/>
      <c r="L3" s="317"/>
      <c r="M3" s="317"/>
      <c r="N3" s="317"/>
      <c r="O3" s="317"/>
      <c r="P3" s="317"/>
      <c r="Q3" s="318"/>
      <c r="R3" s="280"/>
    </row>
    <row r="4" spans="1:22" ht="18" collapsed="1">
      <c r="B4" s="314" t="s">
        <v>11</v>
      </c>
      <c r="C4" s="314"/>
      <c r="D4" s="314"/>
      <c r="E4" s="314"/>
      <c r="F4" s="314"/>
      <c r="G4" s="314"/>
      <c r="H4" s="314"/>
      <c r="I4" s="314"/>
      <c r="J4" s="314"/>
      <c r="K4" s="314"/>
      <c r="L4" s="314"/>
      <c r="M4" s="314"/>
      <c r="N4" s="314"/>
      <c r="O4" s="314"/>
      <c r="P4" s="314"/>
      <c r="Q4" s="314"/>
      <c r="R4" s="314"/>
      <c r="S4" s="191"/>
      <c r="T4" s="191"/>
    </row>
    <row r="5" spans="1:22" ht="15.75" customHeight="1">
      <c r="B5" s="164"/>
      <c r="C5" s="166"/>
      <c r="D5" s="167"/>
      <c r="E5" s="167"/>
      <c r="F5" s="168"/>
      <c r="G5" s="167"/>
      <c r="H5" s="22"/>
      <c r="I5" s="167"/>
      <c r="J5" s="169"/>
      <c r="K5" s="167"/>
      <c r="L5" s="169"/>
      <c r="M5" s="170"/>
      <c r="N5" s="169"/>
      <c r="O5" s="170"/>
      <c r="P5" s="170"/>
      <c r="Q5" s="170"/>
      <c r="R5" s="165"/>
    </row>
    <row r="6" spans="1:22" ht="15.75" customHeight="1">
      <c r="B6" s="164"/>
      <c r="C6" s="171"/>
      <c r="D6" s="172" t="s">
        <v>43</v>
      </c>
      <c r="E6" s="167"/>
      <c r="F6" s="46" t="s">
        <v>110</v>
      </c>
      <c r="G6" s="167"/>
      <c r="H6" s="22"/>
      <c r="I6" s="167"/>
      <c r="J6" s="169"/>
      <c r="K6" s="167"/>
      <c r="L6" s="169"/>
      <c r="M6" s="173"/>
      <c r="N6" s="169"/>
      <c r="O6" s="173"/>
      <c r="P6" s="173"/>
      <c r="Q6" s="173"/>
      <c r="R6" s="165"/>
    </row>
    <row r="7" spans="1:22" ht="15.75" customHeight="1">
      <c r="B7" s="164"/>
      <c r="C7" s="171"/>
      <c r="D7" s="167"/>
      <c r="E7" s="167"/>
      <c r="F7" s="168"/>
      <c r="G7" s="167"/>
      <c r="H7" s="22"/>
      <c r="I7" s="167"/>
      <c r="J7" s="169"/>
      <c r="K7" s="167"/>
      <c r="L7" s="169"/>
      <c r="M7" s="173"/>
      <c r="N7" s="169"/>
      <c r="O7" s="173"/>
      <c r="P7" s="173"/>
      <c r="Q7" s="173"/>
      <c r="R7" s="165"/>
    </row>
    <row r="8" spans="1:22" ht="52.9" customHeight="1">
      <c r="B8" s="164"/>
      <c r="C8" s="171"/>
      <c r="D8" s="167"/>
      <c r="E8" s="167"/>
      <c r="F8" s="211" t="s">
        <v>178</v>
      </c>
      <c r="G8" s="167"/>
      <c r="H8" s="212" t="s">
        <v>175</v>
      </c>
      <c r="I8" s="167"/>
      <c r="J8" s="213" t="s">
        <v>176</v>
      </c>
      <c r="K8" s="167"/>
      <c r="L8" s="212" t="s">
        <v>177</v>
      </c>
      <c r="M8" s="173"/>
      <c r="N8" s="212"/>
      <c r="O8" s="173"/>
      <c r="P8" s="173"/>
      <c r="Q8" s="173"/>
      <c r="R8" s="278"/>
      <c r="S8" s="260"/>
      <c r="T8" s="260"/>
      <c r="U8" s="260"/>
    </row>
    <row r="9" spans="1:22" ht="15.75" customHeight="1">
      <c r="B9" s="164"/>
      <c r="C9" s="171"/>
      <c r="D9" s="172" t="s">
        <v>163</v>
      </c>
      <c r="E9" s="175"/>
      <c r="F9" s="34"/>
      <c r="G9" s="175"/>
      <c r="H9" s="22"/>
      <c r="I9" s="175"/>
      <c r="J9" s="22"/>
      <c r="K9" s="175"/>
      <c r="L9" s="267"/>
      <c r="M9" s="173"/>
      <c r="N9" s="22"/>
      <c r="O9" s="173"/>
      <c r="P9" s="173"/>
      <c r="Q9" s="173"/>
      <c r="R9" s="279"/>
      <c r="S9" s="282" t="s">
        <v>238</v>
      </c>
      <c r="T9" s="282"/>
      <c r="U9" s="282"/>
      <c r="V9" s="282"/>
    </row>
    <row r="10" spans="1:22" ht="5.25" customHeight="1">
      <c r="B10" s="164"/>
      <c r="C10" s="171"/>
      <c r="D10" s="176"/>
      <c r="E10" s="177"/>
      <c r="F10" s="168"/>
      <c r="G10" s="177"/>
      <c r="H10" s="22"/>
      <c r="I10" s="177"/>
      <c r="J10" s="22"/>
      <c r="K10" s="177"/>
      <c r="L10" s="22"/>
      <c r="M10" s="173"/>
      <c r="N10" s="22"/>
      <c r="O10" s="173"/>
      <c r="P10" s="173"/>
      <c r="Q10" s="173"/>
      <c r="R10" s="279"/>
      <c r="S10" s="282"/>
      <c r="T10" s="282"/>
      <c r="U10" s="282"/>
      <c r="V10" s="282"/>
    </row>
    <row r="11" spans="1:22" ht="15.75" customHeight="1">
      <c r="B11" s="164"/>
      <c r="C11" s="171"/>
      <c r="D11" s="167" t="s">
        <v>164</v>
      </c>
      <c r="E11" s="178"/>
      <c r="F11" s="179">
        <f>(((((cinput_case_prop_reached*cnew_daily_case*cinput_case_hrs_reached)+((1-cinput_case_prop_reached)*cinput_case_hrs_not_reached*cnew_daily_case))/60)*7)/cinput_staff_hrs)</f>
        <v>27.3</v>
      </c>
      <c r="G11" s="178"/>
      <c r="H11" s="180">
        <f>ccase_investigators</f>
        <v>25</v>
      </c>
      <c r="I11" s="178"/>
      <c r="J11" s="265">
        <f>cproj_case/ccase_investigators</f>
        <v>1.0920000000000001</v>
      </c>
      <c r="K11" s="178"/>
      <c r="L11" s="22"/>
      <c r="M11" s="210"/>
      <c r="N11" s="22"/>
      <c r="O11" s="210"/>
      <c r="P11" s="210"/>
      <c r="Q11" s="210"/>
      <c r="R11" s="279"/>
      <c r="S11" s="283">
        <f>IF(F6="Day",(((((cinput_case_prop_reached*F26*cinput_case_hrs_reached)+((1-cinput_case_prop_reached)*cinput_case_hrs_not_reached*F26))/60)*7)/cinput_staff_hrs),IF(F6="Week",(((((cinput_case_prop_reached*(F26*7)*cinput_case_hrs_reached)+((1-cinput_case_prop_reached)*cinput_case_hrs_not_reached*(F26*7)))/60)*7)/(cinput_staff_hrs*7)),IF(F6="Month",(((((cinput_case_prop_reached*(F26*30.42)*cinput_case_hrs_reached)+((1-cinput_case_prop_reached)*cinput_case_hrs_not_reached*(F26*30.42)))/60)*7)/(cinput_staff_hrs*30.42)))))</f>
        <v>175.00000000000006</v>
      </c>
      <c r="T11" s="284"/>
      <c r="U11" s="282"/>
      <c r="V11" s="282"/>
    </row>
    <row r="12" spans="1:22" ht="5.25" customHeight="1">
      <c r="B12" s="164"/>
      <c r="C12" s="171"/>
      <c r="D12" s="176"/>
      <c r="E12" s="177"/>
      <c r="F12" s="168"/>
      <c r="G12" s="177"/>
      <c r="H12" s="22"/>
      <c r="I12" s="177"/>
      <c r="J12" s="22"/>
      <c r="K12" s="177"/>
      <c r="L12" s="22"/>
      <c r="M12" s="210"/>
      <c r="N12" s="22"/>
      <c r="O12" s="210"/>
      <c r="P12" s="210"/>
      <c r="Q12" s="210"/>
      <c r="R12" s="279"/>
      <c r="S12" s="283"/>
      <c r="T12" s="282"/>
      <c r="U12" s="282"/>
      <c r="V12" s="282"/>
    </row>
    <row r="13" spans="1:22" ht="15.75" customHeight="1">
      <c r="B13" s="164"/>
      <c r="C13" s="171"/>
      <c r="D13" s="167" t="s">
        <v>165</v>
      </c>
      <c r="E13" s="178"/>
      <c r="F13" s="179">
        <f>(((((cinput_cont_prop_reached*cinput_cont_hrs_reached*cinput_cont_n*cnew_daily_case*cinput_case_prop_reached)+((1-cinput_cont_prop_reached)*cinput_cont_hrs_not_reached*cinput_cont_n*cnew_daily_case*cinput_case_prop_reached))+((cinput_fup_n_call*cinput_fup_hrs_call*cinput_case_prop_reached*cnew_daily_case*cinput_cont_n*cinput_cont_prop_reached)+(cinput_fup_n_text*cinput_fup_hrs_text*cinput_case_prop_reached*cnew_daily_case*cinput_cont_n*cinput_cont_prop_reached)))/60*7)/cinput_staff_hrs)</f>
        <v>62.066666666666677</v>
      </c>
      <c r="G13" s="178"/>
      <c r="H13" s="180">
        <f>ccontact_tracers</f>
        <v>63</v>
      </c>
      <c r="I13" s="178"/>
      <c r="J13" s="201">
        <f>cproj_contact/ccontact_tracers</f>
        <v>0.98518518518518539</v>
      </c>
      <c r="K13" s="178"/>
      <c r="L13" s="201">
        <f>IF(T13&gt;J13,J13,T13)</f>
        <v>0.90218423551756888</v>
      </c>
      <c r="M13" s="210"/>
      <c r="N13" s="261"/>
      <c r="O13" s="210"/>
      <c r="P13" s="210"/>
      <c r="Q13" s="210"/>
      <c r="R13" s="279"/>
      <c r="S13" s="283">
        <f>IF(F6="Day",(((((cinput_cont_prop_reached*cinput_cont_hrs_reached*cinput_cont_n*F26*cinput_case_prop_reached)+((1-cinput_cont_prop_reached)*cinput_cont_hrs_not_reached*cinput_cont_n*F26*cinput_case_prop_reached))+((cinput_fup_n_call*cinput_fup_hrs_call*cinput_case_prop_reached*F26*cinput_cont_n*cinput_cont_prop_reached)+(cinput_fup_n_text*F63*cinput_case_prop_reached*F26*cinput_cont_n*cinput_cont_prop_reached)))/60*7)/cinput_staff_hrs),IF(F6="Week",(((((cinput_cont_prop_reached*cinput_cont_hrs_reached*cinput_cont_n*(F26*7)*cinput_case_prop_reached)+((1-cinput_cont_prop_reached)*cinput_cont_hrs_not_reached*cinput_cont_n*(F26*7)*cinput_case_prop_reached))+((cinput_fup_n_call*cinput_fup_hrs_call*cinput_case_prop_reached*(F26*7)*cinput_cont_n*cinput_cont_prop_reached)+(cinput_fup_n_text*F63*cinput_case_prop_reached*(F26*7)*cinput_cont_n*cinput_cont_prop_reached)))/60*7)/(cinput_staff_hrs*7)),IF(F6="Month",(((((cinput_cont_prop_reached*cinput_cont_hrs_reached*cinput_cont_n*(F26*30.42)*cinput_case_prop_reached)+((1-cinput_cont_prop_reached)*cinput_cont_hrs_not_reached*cinput_cont_n*(F26*30.42)*cinput_case_prop_reached))+((cinput_fup_n_call*cinput_fup_hrs_call*cinput_case_prop_reached*(F26*30.42)*cinput_cont_n*cinput_cont_prop_reached)+(cinput_fup_n_text*F63*cinput_case_prop_reached*(F26*30.42)*cinput_cont_n*cinput_cont_prop_reached)))/60*7)/(cinput_staff_hrs*30.42)))))</f>
        <v>397.86324786324786</v>
      </c>
      <c r="T13" s="284">
        <f>IF(c_select_results_time="Day",S13/ccontact_tracers,(IF(c_select_results_time="Week",S13/(ccontact_tracers*7),IF(c_select_results_time="Month",S13/(ccontact_tracers*30.42)))))</f>
        <v>0.90218423551756888</v>
      </c>
      <c r="U13" s="282"/>
      <c r="V13" s="282"/>
    </row>
    <row r="14" spans="1:22" ht="5.25" customHeight="1">
      <c r="B14" s="164"/>
      <c r="C14" s="171"/>
      <c r="D14" s="167"/>
      <c r="E14" s="178"/>
      <c r="F14" s="182"/>
      <c r="G14" s="178"/>
      <c r="H14" s="182"/>
      <c r="I14" s="178"/>
      <c r="J14"/>
      <c r="K14" s="178"/>
      <c r="L14"/>
      <c r="M14" s="210"/>
      <c r="N14" s="262"/>
      <c r="O14" s="210"/>
      <c r="P14" s="210"/>
      <c r="Q14" s="210"/>
      <c r="R14" s="279"/>
      <c r="S14" s="283"/>
      <c r="T14" s="282"/>
      <c r="U14" s="282"/>
      <c r="V14" s="282"/>
    </row>
    <row r="15" spans="1:22" ht="15.75" customHeight="1">
      <c r="B15" s="164"/>
      <c r="C15" s="171"/>
      <c r="D15" s="167" t="s">
        <v>166</v>
      </c>
      <c r="E15" s="178"/>
      <c r="F15" s="179">
        <f>((((cnew_daily_case*cinput_case_prop_reached*cprop_case_coor)+(cnew_daily_case*cinput_cont_n*cinput_case_prop_reached*cinput_cont_prop_reached*cprop_contact_coor))))/ccoor_daily_cases</f>
        <v>7.8400000000000007</v>
      </c>
      <c r="G15" s="178"/>
      <c r="H15" s="180">
        <f>cresource_coord</f>
        <v>4</v>
      </c>
      <c r="I15" s="178"/>
      <c r="J15" s="201">
        <f>cproj_coor/cresource_coord</f>
        <v>1.9600000000000002</v>
      </c>
      <c r="K15" s="178"/>
      <c r="L15" s="201">
        <f>IF(T15&gt;J15,J15,T15)</f>
        <v>1.7948717948717952</v>
      </c>
      <c r="M15" s="210"/>
      <c r="N15" s="261"/>
      <c r="O15" s="210"/>
      <c r="P15" s="210"/>
      <c r="Q15" s="210"/>
      <c r="R15" s="279"/>
      <c r="S15" s="283">
        <f>((((F26*cinput_case_prop_reached*F67)+(F26*cinput_cont_n*cinput_case_prop_reached*cinput_cont_prop_reached*F69))))/F71</f>
        <v>50.256410256410263</v>
      </c>
      <c r="T15" s="284">
        <f>IF(c_select_results_time="Day",S15/cresource_coord,(IF(c_select_results_time="Week",S15/(cresource_coord*7),IF(c_select_results_time="Month",S15/(cresource_coord*30.42)))))</f>
        <v>1.7948717948717952</v>
      </c>
      <c r="U15" s="282"/>
      <c r="V15" s="282"/>
    </row>
    <row r="16" spans="1:22" ht="5.25" customHeight="1">
      <c r="B16" s="164"/>
      <c r="C16" s="171"/>
      <c r="D16" s="167"/>
      <c r="E16" s="178"/>
      <c r="F16" s="182"/>
      <c r="G16" s="178"/>
      <c r="H16" s="182"/>
      <c r="I16" s="178"/>
      <c r="J16"/>
      <c r="K16" s="178"/>
      <c r="L16"/>
      <c r="M16" s="210"/>
      <c r="N16" s="262"/>
      <c r="O16" s="210"/>
      <c r="P16" s="210"/>
      <c r="Q16" s="210"/>
      <c r="R16" s="279"/>
      <c r="S16" s="283"/>
      <c r="T16" s="282"/>
      <c r="U16" s="282"/>
      <c r="V16" s="282"/>
    </row>
    <row r="17" spans="2:22" ht="15.75" customHeight="1">
      <c r="B17" s="164"/>
      <c r="C17" s="171"/>
      <c r="D17" s="167" t="s">
        <v>167</v>
      </c>
      <c r="E17" s="178"/>
      <c r="F17" s="179">
        <f>(cproj_case+cproj_contact+cproj_coor)/cstaff_per_supervisor</f>
        <v>9.7206666666666681</v>
      </c>
      <c r="G17" s="178"/>
      <c r="H17" s="181">
        <f>csupervisors</f>
        <v>2</v>
      </c>
      <c r="I17" s="178"/>
      <c r="J17" s="200">
        <f>cproj_supervisor/csupervisors</f>
        <v>4.8603333333333341</v>
      </c>
      <c r="K17" s="178"/>
      <c r="L17" s="200">
        <f>IF(T17&gt;J17,J17,T17)</f>
        <v>4.450854700854701</v>
      </c>
      <c r="M17" s="210"/>
      <c r="N17" s="261"/>
      <c r="O17" s="210"/>
      <c r="P17" s="210"/>
      <c r="Q17" s="210"/>
      <c r="R17" s="279"/>
      <c r="S17" s="283">
        <f>IF(F6="Day",(S11+S13+S15)/F87,IF(F6="Week",((S11+S13+S15)/7)/F87,IF(F6="Month",((S11+S13+S15)/30.42)/F87)))</f>
        <v>8.9017094017094021</v>
      </c>
      <c r="T17" s="284">
        <f>S17/csupervisors</f>
        <v>4.450854700854701</v>
      </c>
      <c r="U17" s="282"/>
      <c r="V17" s="282"/>
    </row>
    <row r="18" spans="2:22" ht="15.75" customHeight="1">
      <c r="B18" s="164"/>
      <c r="C18" s="171"/>
      <c r="D18" s="167"/>
      <c r="E18" s="167"/>
      <c r="F18" s="168"/>
      <c r="G18" s="167"/>
      <c r="H18" s="22"/>
      <c r="I18" s="167"/>
      <c r="J18" s="169"/>
      <c r="K18" s="167"/>
      <c r="L18" s="169"/>
      <c r="M18" s="210"/>
      <c r="N18" s="169"/>
      <c r="O18" s="210"/>
      <c r="P18" s="210"/>
      <c r="Q18" s="210"/>
      <c r="R18" s="279"/>
      <c r="S18" s="282"/>
      <c r="T18" s="282"/>
      <c r="U18" s="282"/>
      <c r="V18" s="282"/>
    </row>
    <row r="19" spans="2:22" ht="5.25" customHeight="1">
      <c r="B19" s="164"/>
      <c r="C19" s="171"/>
      <c r="D19" s="167"/>
      <c r="E19" s="178"/>
      <c r="F19" s="182"/>
      <c r="G19" s="178"/>
      <c r="H19" s="182"/>
      <c r="I19" s="178"/>
      <c r="J19"/>
      <c r="K19" s="178"/>
      <c r="L19"/>
      <c r="M19" s="210"/>
      <c r="N19"/>
      <c r="O19" s="210"/>
      <c r="P19" s="210"/>
      <c r="Q19" s="210"/>
      <c r="R19" s="278"/>
      <c r="S19" s="282"/>
      <c r="T19" s="282"/>
      <c r="U19" s="282"/>
      <c r="V19" s="282"/>
    </row>
    <row r="20" spans="2:22" ht="15.75" customHeight="1">
      <c r="B20" s="164"/>
      <c r="C20" s="171"/>
      <c r="D20" s="172" t="s">
        <v>26</v>
      </c>
      <c r="E20" s="178"/>
      <c r="F20" s="179">
        <f>SUM(cproj_case,cproj_contact,cproj_coor,cproj_supervisor)</f>
        <v>106.92733333333335</v>
      </c>
      <c r="G20" s="178"/>
      <c r="H20" s="179">
        <f>SUM(ccase_investigators,ccontact_tracers,cresource_coord,csupervisors)</f>
        <v>94</v>
      </c>
      <c r="I20" s="178"/>
      <c r="J20" s="185"/>
      <c r="K20" s="178"/>
      <c r="L20" s="185"/>
      <c r="M20" s="210"/>
      <c r="N20" s="185"/>
      <c r="O20" s="210"/>
      <c r="P20" s="210"/>
      <c r="Q20" s="210"/>
      <c r="R20" s="278"/>
      <c r="S20" s="282"/>
      <c r="T20" s="282"/>
      <c r="U20" s="282"/>
      <c r="V20" s="282"/>
    </row>
    <row r="21" spans="2:22" ht="5.25" customHeight="1">
      <c r="B21" s="164"/>
      <c r="C21" s="171"/>
      <c r="D21" s="167"/>
      <c r="E21" s="178"/>
      <c r="F21" s="182"/>
      <c r="G21" s="178"/>
      <c r="H21" s="182"/>
      <c r="I21" s="178"/>
      <c r="J21"/>
      <c r="K21" s="178"/>
      <c r="L21"/>
      <c r="M21" s="210"/>
      <c r="N21"/>
      <c r="O21" s="210"/>
      <c r="P21" s="210"/>
      <c r="Q21" s="210"/>
      <c r="R21" s="278"/>
      <c r="S21" s="282"/>
      <c r="T21" s="282"/>
      <c r="U21" s="282"/>
      <c r="V21" s="282"/>
    </row>
    <row r="22" spans="2:22" ht="15.75">
      <c r="B22" s="164"/>
      <c r="C22" s="171"/>
      <c r="D22" s="167"/>
      <c r="E22" s="178"/>
      <c r="F22" s="183"/>
      <c r="G22" s="178"/>
      <c r="H22" s="183"/>
      <c r="I22" s="178"/>
      <c r="J22"/>
      <c r="K22" s="178"/>
      <c r="L22"/>
      <c r="M22" s="173"/>
      <c r="N22"/>
      <c r="O22" s="173"/>
      <c r="P22" s="173"/>
      <c r="Q22" s="173"/>
      <c r="R22" s="278"/>
      <c r="S22" s="282"/>
      <c r="T22" s="282"/>
      <c r="U22" s="282"/>
      <c r="V22" s="282"/>
    </row>
    <row r="23" spans="2:22" ht="72" customHeight="1">
      <c r="B23" s="164"/>
      <c r="C23" s="171"/>
      <c r="D23" s="167"/>
      <c r="E23" s="178"/>
      <c r="F23" s="270" t="s">
        <v>234</v>
      </c>
      <c r="G23" s="259"/>
      <c r="H23" s="270" t="s">
        <v>235</v>
      </c>
      <c r="I23" s="259"/>
      <c r="J23" s="270" t="s">
        <v>231</v>
      </c>
      <c r="K23" s="259"/>
      <c r="L23" s="268" t="s">
        <v>233</v>
      </c>
      <c r="M23" s="259"/>
      <c r="N23" s="268" t="s">
        <v>236</v>
      </c>
      <c r="O23" s="269"/>
      <c r="P23" s="268" t="s">
        <v>237</v>
      </c>
      <c r="Q23" s="269"/>
      <c r="R23" s="174"/>
      <c r="S23" s="282"/>
      <c r="T23" s="282"/>
      <c r="U23" s="282"/>
      <c r="V23" s="282"/>
    </row>
    <row r="24" spans="2:22" ht="15.75" customHeight="1">
      <c r="B24" s="164"/>
      <c r="C24" s="171"/>
      <c r="D24" s="184" t="s">
        <v>106</v>
      </c>
      <c r="E24" s="178"/>
      <c r="F24" s="211"/>
      <c r="G24" s="178"/>
      <c r="H24" s="211"/>
      <c r="I24" s="178"/>
      <c r="J24" s="211"/>
      <c r="K24" s="178"/>
      <c r="L24"/>
      <c r="M24" s="178"/>
      <c r="N24"/>
      <c r="O24" s="173"/>
      <c r="P24"/>
      <c r="Q24" s="173"/>
      <c r="R24" s="165"/>
      <c r="S24" s="282"/>
      <c r="T24" s="282"/>
      <c r="U24" s="282"/>
      <c r="V24" s="282"/>
    </row>
    <row r="25" spans="2:22" ht="5.25" customHeight="1">
      <c r="B25" s="164"/>
      <c r="C25" s="171"/>
      <c r="D25" s="176"/>
      <c r="E25" s="177"/>
      <c r="F25" s="168"/>
      <c r="G25" s="177"/>
      <c r="H25" s="168"/>
      <c r="I25" s="177"/>
      <c r="J25" s="22"/>
      <c r="K25" s="177"/>
      <c r="L25" s="22"/>
      <c r="M25" s="177"/>
      <c r="N25" s="22"/>
      <c r="O25" s="173"/>
      <c r="P25" s="22"/>
      <c r="Q25" s="173"/>
      <c r="R25" s="174"/>
      <c r="S25" s="282"/>
      <c r="T25" s="282"/>
      <c r="U25" s="282"/>
      <c r="V25" s="282"/>
    </row>
    <row r="26" spans="2:22" ht="15.75" customHeight="1">
      <c r="B26" s="164"/>
      <c r="C26" s="171"/>
      <c r="D26" s="167" t="s">
        <v>168</v>
      </c>
      <c r="E26" s="178"/>
      <c r="F26" s="209">
        <f>IF(F6="Day",(((ccase_investigators*cinput_staff_hrs)/7)*60)/((cinput_case_prop_reached*cinput_case_hrs_reached)+((1-cinput_case_prop_reached)*cinput_case_hrs_not_reached)),IF(F6="Week",((((F75*cinput_staff_hrs)/7)*60)/((cinput_case_prop_reached*cinput_case_hrs_reached)+((1-cinput_case_prop_reached)*cinput_case_hrs_not_reached))*7),IF(F6="Month",((((ccase_investigators*cinput_staff_hrs)/7)*60)/((cinput_case_prop_reached*cinput_case_hrs_reached)+((1-cinput_case_prop_reached)*cinput_case_hrs_not_reached))*30.42))))</f>
        <v>1025.6410256410259</v>
      </c>
      <c r="G26" s="178"/>
      <c r="H26" s="211"/>
      <c r="I26" s="178"/>
      <c r="J26" s="273">
        <f>IF(c_select_results_time="Day",cnew_daily_case,IF(c_select_results_time="Week",(cnew_daily_case*7),IF(c_select_results_time="Month",(cnew_daily_case*30.42))))</f>
        <v>1120</v>
      </c>
      <c r="K26" s="178"/>
      <c r="L26" s="272">
        <f>IF(T26&lt;0,0,T26)</f>
        <v>94.358974358974137</v>
      </c>
      <c r="M26" s="178"/>
      <c r="N26" s="274">
        <f>IF(c_select_results_time="Day",(((((cinput_case_prop_reached*cnew_daily_case*cinput_case_hrs_reached)+((1-cinput_case_prop_reached)*cinput_case_hrs_not_reached*cnew_daily_case))/60)/cnew_daily_case)*ccase_backlog),IF(c_select_results_time="Week",(((((cinput_case_prop_reached*cnew_daily_case*cinput_case_hrs_reached)+((1-cinput_case_prop_reached)*cinput_case_hrs_not_reached*cnew_daily_case))/60)/cnew_daily_case)*(ccase_backlog/7)),IF(c_select_results_time="Month",(((((cinput_case_prop_reached*cnew_daily_case*cinput_case_hrs_reached)+((1-cinput_case_prop_reached)*cinput_case_hrs_not_reached*cnew_daily_case))/60)/cnew_daily_case)*(ccase_backlog/30.42)))))</f>
        <v>13.142857142857112</v>
      </c>
      <c r="O26" s="173"/>
      <c r="P26" s="274">
        <f>ccase_backloghours/3</f>
        <v>4.3809523809523707</v>
      </c>
      <c r="Q26" s="173"/>
      <c r="R26" s="174"/>
      <c r="T26" s="282">
        <f>cactual_cases-cinvestigator_capacity</f>
        <v>94.358974358974137</v>
      </c>
      <c r="U26" s="282"/>
      <c r="V26" s="282" t="s">
        <v>239</v>
      </c>
    </row>
    <row r="27" spans="2:22" ht="5.25" customHeight="1">
      <c r="B27" s="164"/>
      <c r="C27" s="171"/>
      <c r="D27" s="176"/>
      <c r="E27" s="177"/>
      <c r="F27" s="168"/>
      <c r="G27" s="177"/>
      <c r="H27" s="168"/>
      <c r="I27" s="177"/>
      <c r="J27" s="22"/>
      <c r="K27" s="177"/>
      <c r="L27" s="22"/>
      <c r="M27" s="177"/>
      <c r="N27" s="22"/>
      <c r="O27" s="173"/>
      <c r="P27" s="22"/>
      <c r="Q27" s="173"/>
      <c r="R27" s="174"/>
      <c r="S27" s="282"/>
      <c r="T27" s="282"/>
      <c r="U27" s="282"/>
      <c r="V27" s="282"/>
    </row>
    <row r="28" spans="2:22" ht="15.75" customHeight="1">
      <c r="B28" s="164"/>
      <c r="C28" s="171"/>
      <c r="D28" s="167" t="s">
        <v>232</v>
      </c>
      <c r="E28" s="178"/>
      <c r="F28" s="209">
        <f>IF(c_select_results_time="Day",((ccontact_tracers*cinput_staff_hrs)/((((cinput_case_prop_reached*cinput_cont_prop_reached*cinput_cont_hrs_reached)+((1-cinput_cont_prop_reached)*cinput_cont_hrs_not_reached*cinput_case_prop_reached)+(cinput_case_prop_reached*cinput_cont_prop_reached*cinput_fup_n_call*cinput_fup_hrs_call)+(cinput_case_prop_reached*cinput_cont_prop_reached*cinput_fup_n_text*cinput_fup_hrs_text)))/60)/7),IF(c_select_results_time="Week",(ccontact_tracers*cinput_staff_hrs)/((((cinput_case_prop_reached*cinput_cont_prop_reached*cinput_cont_hrs_reached)+((1-cinput_cont_prop_reached)*cinput_cont_hrs_not_reached*cinput_case_prop_reached)+(cinput_case_prop_reached*cinput_cont_prop_reached*cinput_fup_n_call*cinput_fup_hrs_call)+(cinput_case_prop_reached*cinput_cont_prop_reached*cinput_fup_n_text*cinput_fup_hrs_text)))/60),IF(c_select_results_time="Month",((ccontact_tracers*cinput_staff_hrs)/((((cinput_case_prop_reached*cinput_cont_prop_reached*cinput_cont_hrs_reached)+((1-cinput_cont_prop_reached)*cinput_cont_hrs_not_reached*cinput_case_prop_reached)+(cinput_case_prop_reached*cinput_cont_prop_reached*cinput_fup_n_call*cinput_fup_hrs_call)+(cinput_case_prop_reached*cinput_cont_prop_reached*cinput_fup_n_text*cinput_fup_hrs_text)))/60)/7)*30.42)))</f>
        <v>5684.2105263157891</v>
      </c>
      <c r="G28" s="178"/>
      <c r="H28" s="209">
        <f>IF(c_select_results_time="Day",cinvestigator_capacity*cinput_cont_n,IF(c_select_results_time="Week",cinvestigator_capacity*cinput_cont_n,IF(c_select_results_time="Month",cinvestigator_capacity*cinput_cont_n)))</f>
        <v>5128.2051282051289</v>
      </c>
      <c r="I28" s="178"/>
      <c r="J28" s="271">
        <f>IF(c_select_results_time="Day",cnew_daily_case*cinput_cont_n,IF(c_select_results_time="Week",cnew_daily_case*cinput_cont_n*7,IF(c_select_results_time="Month",cnew_daily_case*cinput_cont_n*30.42)))</f>
        <v>5600</v>
      </c>
      <c r="K28" s="178"/>
      <c r="L28" s="272">
        <f>IF(T28&lt;0,0,T28)</f>
        <v>471.79487179487114</v>
      </c>
      <c r="M28" s="178"/>
      <c r="N28" s="274">
        <f>IF(c_select_results_time="Day",(ccontact_backlog/((((cinput_case_prop_reached*cinput_case_hrs_reached)+((1-cinput_case_prop_reached)*cinput_case_hrs_not_reached)+(cinput_case_prop_reached*cinput_fup_n_call*cinput_fup_hrs_call)+(cinput_case_prop_reached*cinput_fup_n_text*cinput_fup_hrs_text)))/60)),IF(c_select_results_time="Week",((ccontact_backlog/7)/((((cinput_case_prop_reached*cinput_case_hrs_reached)+((1-cinput_case_prop_reached)*cinput_case_hrs_not_reached)+(cinput_case_prop_reached*cinput_fup_n_call*cinput_fup_hrs_call)+(cinput_case_prop_reached*cinput_fup_n_text*cinput_fup_hrs_text)))/60)),IF(c_select_results_time="Month",((ccontact_backlog/30.42)/((((cinput_case_prop_reached*cinput_case_hrs_reached)+((1-cinput_case_prop_reached)*cinput_case_hrs_not_reached)+(cinput_case_prop_reached*cinput_fup_n_call*cinput_fup_hrs_call)+(cinput_case_prop_reached*cinput_fup_n_text*cinput_fup_hrs_text)))/60)))))</f>
        <v>61.086949304471879</v>
      </c>
      <c r="O28" s="173"/>
      <c r="P28" s="274">
        <f>ccontact_backloghours/3</f>
        <v>20.36231643482396</v>
      </c>
      <c r="Q28" s="173"/>
      <c r="R28" s="174"/>
      <c r="S28" s="282"/>
      <c r="T28" s="285">
        <f>IF(cmax_contacts_by_case&gt;ccontact_capacity,cactual_contacts-ccontact_capacity,cactual_contacts-cmax_contacts_by_case)</f>
        <v>471.79487179487114</v>
      </c>
      <c r="U28" s="282"/>
      <c r="V28" s="282" t="s">
        <v>240</v>
      </c>
    </row>
    <row r="29" spans="2:22" ht="15" customHeight="1">
      <c r="B29" s="164"/>
      <c r="C29" s="171"/>
      <c r="D29" s="167"/>
      <c r="E29" s="167"/>
      <c r="F29" s="168"/>
      <c r="G29" s="167"/>
      <c r="H29" s="22"/>
      <c r="I29" s="167"/>
      <c r="J29" s="169"/>
      <c r="K29" s="167"/>
      <c r="L29" s="169"/>
      <c r="M29" s="173"/>
      <c r="N29" s="169"/>
      <c r="O29" s="173"/>
      <c r="P29" s="277"/>
      <c r="Q29" s="173"/>
      <c r="R29" s="165"/>
    </row>
    <row r="30" spans="2:22" ht="18" collapsed="1">
      <c r="B30" s="164"/>
      <c r="C30" s="314" t="s">
        <v>27</v>
      </c>
      <c r="D30" s="314"/>
      <c r="E30" s="314"/>
      <c r="F30" s="314"/>
      <c r="G30" s="314"/>
      <c r="H30" s="314"/>
      <c r="I30" s="314"/>
      <c r="J30" s="314"/>
      <c r="K30" s="314"/>
      <c r="L30" s="314"/>
      <c r="M30" s="314"/>
      <c r="N30" s="314"/>
      <c r="O30" s="314"/>
      <c r="P30" s="314"/>
      <c r="Q30" s="314"/>
      <c r="R30" s="165"/>
    </row>
    <row r="31" spans="2:22" ht="15">
      <c r="B31" s="164"/>
      <c r="C31" s="186"/>
      <c r="D31" s="186"/>
      <c r="E31" s="186"/>
      <c r="F31" s="186"/>
      <c r="G31" s="186"/>
      <c r="H31" s="186"/>
      <c r="I31" s="186"/>
      <c r="J31" s="186"/>
      <c r="K31" s="186"/>
      <c r="L31" s="186"/>
      <c r="M31" s="186"/>
      <c r="N31" s="186"/>
      <c r="O31" s="186"/>
      <c r="P31" s="186"/>
      <c r="Q31" s="186"/>
      <c r="R31" s="165"/>
    </row>
    <row r="32" spans="2:22" ht="15.75">
      <c r="B32" s="164"/>
      <c r="C32" s="186"/>
      <c r="D32" s="186"/>
      <c r="E32" s="186"/>
      <c r="F32" s="187" t="s">
        <v>33</v>
      </c>
      <c r="G32" s="188"/>
      <c r="H32" s="187" t="s">
        <v>31</v>
      </c>
      <c r="I32" s="188"/>
      <c r="J32" s="311" t="s">
        <v>78</v>
      </c>
      <c r="K32" s="311"/>
      <c r="L32" s="311"/>
      <c r="M32" s="316"/>
      <c r="N32" s="316"/>
      <c r="O32" s="186"/>
      <c r="P32" s="186"/>
      <c r="Q32" s="186"/>
      <c r="R32" s="165"/>
    </row>
    <row r="33" spans="2:18" s="191" customFormat="1" ht="15.75">
      <c r="B33" s="164"/>
      <c r="C33" s="186"/>
      <c r="D33" s="189" t="s">
        <v>32</v>
      </c>
      <c r="E33" s="189"/>
      <c r="F33" s="189"/>
      <c r="G33" s="189"/>
      <c r="H33" s="189"/>
      <c r="I33" s="189"/>
      <c r="J33" s="189"/>
      <c r="K33" s="189"/>
      <c r="L33" s="189"/>
      <c r="M33" s="189"/>
      <c r="N33" s="189"/>
      <c r="O33" s="189"/>
      <c r="P33" s="189"/>
      <c r="Q33" s="189"/>
      <c r="R33" s="190"/>
    </row>
    <row r="34" spans="2:18" ht="5.25" customHeight="1">
      <c r="B34" s="164"/>
      <c r="C34" s="171"/>
      <c r="D34" s="167"/>
      <c r="E34" s="178"/>
      <c r="F34" s="178"/>
      <c r="G34" s="178"/>
      <c r="H34" s="178"/>
      <c r="I34" s="178"/>
      <c r="J34" s="178"/>
      <c r="K34" s="178"/>
      <c r="L34" s="178"/>
      <c r="M34"/>
      <c r="N34" s="178"/>
      <c r="O34"/>
      <c r="P34"/>
      <c r="Q34"/>
      <c r="R34" s="165"/>
    </row>
    <row r="35" spans="2:18" ht="15.75" customHeight="1">
      <c r="B35" s="164"/>
      <c r="C35" s="171"/>
      <c r="D35" s="167" t="s">
        <v>28</v>
      </c>
      <c r="E35" s="178"/>
      <c r="F35" s="275">
        <v>160</v>
      </c>
      <c r="G35" s="178"/>
      <c r="H35" s="287">
        <v>160</v>
      </c>
      <c r="I35" s="178"/>
      <c r="J35" s="51"/>
      <c r="K35" s="178"/>
      <c r="L35" s="286"/>
      <c r="M35" s="312"/>
      <c r="N35" s="312"/>
      <c r="O35"/>
      <c r="P35"/>
      <c r="Q35"/>
      <c r="R35" s="165"/>
    </row>
    <row r="36" spans="2:18" ht="5.25" customHeight="1">
      <c r="B36" s="164"/>
      <c r="C36" s="171"/>
      <c r="D36" s="167"/>
      <c r="E36" s="178"/>
      <c r="F36" s="266"/>
      <c r="G36" s="178"/>
      <c r="H36" s="288"/>
      <c r="I36" s="178"/>
      <c r="J36" s="178"/>
      <c r="K36" s="178"/>
      <c r="L36" s="178"/>
      <c r="M36"/>
      <c r="N36" s="178"/>
      <c r="O36"/>
      <c r="P36"/>
      <c r="Q36"/>
      <c r="R36" s="165"/>
    </row>
    <row r="37" spans="2:18" ht="15.75" customHeight="1">
      <c r="B37" s="164"/>
      <c r="C37" s="171"/>
      <c r="D37" s="167" t="s">
        <v>29</v>
      </c>
      <c r="E37" s="178"/>
      <c r="F37" s="49">
        <v>5</v>
      </c>
      <c r="G37" s="178"/>
      <c r="H37" s="228">
        <v>5</v>
      </c>
      <c r="I37" s="178"/>
      <c r="J37" s="142"/>
      <c r="K37" s="178"/>
      <c r="L37" s="202"/>
      <c r="M37" s="312"/>
      <c r="N37" s="312"/>
      <c r="O37"/>
      <c r="P37"/>
      <c r="Q37"/>
      <c r="R37" s="165"/>
    </row>
    <row r="38" spans="2:18" ht="5.25" customHeight="1">
      <c r="B38" s="164"/>
      <c r="C38" s="171"/>
      <c r="D38" s="167"/>
      <c r="E38" s="178"/>
      <c r="F38" s="142"/>
      <c r="G38" s="178"/>
      <c r="H38" s="231"/>
      <c r="I38" s="178"/>
      <c r="J38" s="186"/>
      <c r="K38" s="178"/>
      <c r="L38" s="186"/>
      <c r="M38"/>
      <c r="N38" s="186"/>
      <c r="O38"/>
      <c r="P38"/>
      <c r="Q38"/>
      <c r="R38" s="165"/>
    </row>
    <row r="39" spans="2:18" ht="18" collapsed="1">
      <c r="B39" s="164"/>
      <c r="C39" s="192"/>
      <c r="D39" s="189" t="s">
        <v>79</v>
      </c>
      <c r="E39" s="189"/>
      <c r="F39" s="189"/>
      <c r="G39" s="189"/>
      <c r="H39" s="232"/>
      <c r="I39" s="189"/>
      <c r="J39" s="189"/>
      <c r="K39" s="189"/>
      <c r="L39" s="189"/>
      <c r="M39" s="189"/>
      <c r="N39" s="189"/>
      <c r="O39" s="189"/>
      <c r="P39" s="189"/>
      <c r="Q39" s="189"/>
      <c r="R39" s="165"/>
    </row>
    <row r="40" spans="2:18" ht="5.25" customHeight="1">
      <c r="B40" s="164"/>
      <c r="C40" s="171"/>
      <c r="D40" s="167"/>
      <c r="E40" s="178"/>
      <c r="F40" s="178"/>
      <c r="G40" s="178"/>
      <c r="H40" s="230"/>
      <c r="I40" s="178"/>
      <c r="J40" s="178"/>
      <c r="K40" s="178"/>
      <c r="L40" s="178"/>
      <c r="M40"/>
      <c r="N40" s="178"/>
      <c r="O40"/>
      <c r="P40"/>
      <c r="Q40"/>
      <c r="R40" s="165"/>
    </row>
    <row r="41" spans="2:18" ht="15.75" customHeight="1">
      <c r="B41" s="164"/>
      <c r="C41" s="171"/>
      <c r="D41" s="193" t="s">
        <v>39</v>
      </c>
      <c r="E41" s="178"/>
      <c r="F41" s="47">
        <v>0.7</v>
      </c>
      <c r="G41" s="178"/>
      <c r="H41" s="48">
        <v>0.7</v>
      </c>
      <c r="I41" s="178"/>
      <c r="J41" s="194"/>
      <c r="K41" s="178"/>
      <c r="L41" s="194"/>
      <c r="M41" s="313"/>
      <c r="N41" s="313"/>
      <c r="O41"/>
      <c r="P41"/>
      <c r="Q41"/>
      <c r="R41" s="165"/>
    </row>
    <row r="42" spans="2:18" ht="5.25" customHeight="1">
      <c r="B42" s="164"/>
      <c r="C42" s="171"/>
      <c r="D42" s="167"/>
      <c r="E42" s="178"/>
      <c r="F42" s="142"/>
      <c r="G42" s="178"/>
      <c r="H42" s="231"/>
      <c r="I42" s="178"/>
      <c r="J42" s="186"/>
      <c r="K42" s="178"/>
      <c r="L42" s="186"/>
      <c r="M42" s="313"/>
      <c r="N42" s="313"/>
      <c r="O42"/>
      <c r="P42"/>
      <c r="Q42"/>
      <c r="R42" s="165"/>
    </row>
    <row r="43" spans="2:18" ht="15.75" customHeight="1">
      <c r="B43" s="164"/>
      <c r="C43" s="171"/>
      <c r="D43" s="193" t="s">
        <v>55</v>
      </c>
      <c r="E43" s="178"/>
      <c r="F43" s="49">
        <v>75</v>
      </c>
      <c r="G43" s="178"/>
      <c r="H43" s="228">
        <v>75</v>
      </c>
      <c r="I43" s="178"/>
      <c r="J43" s="142"/>
      <c r="K43" s="178"/>
      <c r="L43" s="202"/>
      <c r="M43" s="313"/>
      <c r="N43" s="313"/>
      <c r="O43"/>
      <c r="P43"/>
      <c r="Q43"/>
      <c r="R43" s="165"/>
    </row>
    <row r="44" spans="2:18" ht="5.25" customHeight="1">
      <c r="B44" s="164"/>
      <c r="C44" s="171"/>
      <c r="D44" s="167"/>
      <c r="E44" s="178"/>
      <c r="F44" s="142"/>
      <c r="G44" s="178"/>
      <c r="H44" s="231"/>
      <c r="I44" s="178"/>
      <c r="J44" s="186"/>
      <c r="K44" s="178"/>
      <c r="L44" s="186"/>
      <c r="M44" s="313"/>
      <c r="N44" s="313"/>
      <c r="O44"/>
      <c r="P44"/>
      <c r="Q44"/>
      <c r="R44" s="165"/>
    </row>
    <row r="45" spans="2:18" ht="15.75" customHeight="1">
      <c r="B45" s="164"/>
      <c r="C45" s="171"/>
      <c r="D45" s="193" t="s">
        <v>56</v>
      </c>
      <c r="E45" s="178"/>
      <c r="F45" s="49">
        <v>20</v>
      </c>
      <c r="G45" s="178"/>
      <c r="H45" s="228">
        <v>20</v>
      </c>
      <c r="I45" s="178"/>
      <c r="J45" s="142"/>
      <c r="K45" s="178"/>
      <c r="L45" s="202"/>
      <c r="M45" s="313"/>
      <c r="N45" s="313"/>
      <c r="O45"/>
      <c r="P45"/>
      <c r="Q45"/>
      <c r="R45" s="165"/>
    </row>
    <row r="46" spans="2:18" ht="5.25" customHeight="1">
      <c r="B46" s="164"/>
      <c r="C46" s="171"/>
      <c r="D46" s="167"/>
      <c r="E46" s="178"/>
      <c r="F46" s="142"/>
      <c r="G46" s="178"/>
      <c r="H46" s="231"/>
      <c r="I46" s="178"/>
      <c r="J46" s="186"/>
      <c r="K46" s="178"/>
      <c r="L46" s="186"/>
      <c r="M46"/>
      <c r="N46" s="186"/>
      <c r="O46"/>
      <c r="P46"/>
      <c r="Q46"/>
      <c r="R46" s="165"/>
    </row>
    <row r="47" spans="2:18" ht="18" collapsed="1">
      <c r="B47" s="164"/>
      <c r="C47" s="192"/>
      <c r="D47" s="189" t="s">
        <v>80</v>
      </c>
      <c r="E47" s="189"/>
      <c r="F47" s="189"/>
      <c r="G47" s="189"/>
      <c r="H47" s="232"/>
      <c r="I47" s="189"/>
      <c r="J47" s="189"/>
      <c r="K47" s="189"/>
      <c r="L47" s="189"/>
      <c r="M47" s="189"/>
      <c r="N47" s="189"/>
      <c r="O47" s="189"/>
      <c r="P47" s="189"/>
      <c r="Q47" s="189"/>
      <c r="R47" s="165"/>
    </row>
    <row r="48" spans="2:18" ht="5.25" customHeight="1">
      <c r="B48" s="164"/>
      <c r="C48" s="171"/>
      <c r="D48" s="167"/>
      <c r="E48" s="178"/>
      <c r="F48" s="178"/>
      <c r="G48" s="178"/>
      <c r="H48" s="230"/>
      <c r="I48" s="178"/>
      <c r="J48" s="178"/>
      <c r="K48" s="178"/>
      <c r="L48" s="178"/>
      <c r="M48"/>
      <c r="N48" s="178"/>
      <c r="O48"/>
      <c r="P48"/>
      <c r="Q48"/>
      <c r="R48" s="165"/>
    </row>
    <row r="49" spans="2:18" ht="15" customHeight="1">
      <c r="B49" s="164"/>
      <c r="C49" s="171"/>
      <c r="D49" s="193" t="s">
        <v>40</v>
      </c>
      <c r="E49" s="178"/>
      <c r="F49" s="47">
        <v>0.5</v>
      </c>
      <c r="G49" s="178"/>
      <c r="H49" s="48">
        <v>0.5</v>
      </c>
      <c r="I49" s="178"/>
      <c r="J49" s="142"/>
      <c r="K49" s="178"/>
      <c r="L49" s="202"/>
      <c r="M49"/>
      <c r="N49" s="257"/>
      <c r="O49"/>
      <c r="P49"/>
      <c r="Q49"/>
      <c r="R49" s="165"/>
    </row>
    <row r="50" spans="2:18" ht="5.25" customHeight="1">
      <c r="B50" s="164"/>
      <c r="C50" s="171"/>
      <c r="D50" s="167"/>
      <c r="E50" s="178"/>
      <c r="F50" s="142"/>
      <c r="G50" s="178"/>
      <c r="H50" s="231"/>
      <c r="I50" s="178"/>
      <c r="J50" s="186"/>
      <c r="K50" s="178"/>
      <c r="L50" s="186"/>
      <c r="M50"/>
      <c r="N50" s="186"/>
      <c r="O50"/>
      <c r="P50"/>
      <c r="Q50"/>
      <c r="R50" s="165"/>
    </row>
    <row r="51" spans="2:18" ht="15" customHeight="1">
      <c r="B51" s="164"/>
      <c r="C51" s="171"/>
      <c r="D51" s="193" t="s">
        <v>57</v>
      </c>
      <c r="E51" s="178"/>
      <c r="F51" s="49">
        <v>45</v>
      </c>
      <c r="G51" s="178"/>
      <c r="H51" s="228">
        <v>45</v>
      </c>
      <c r="I51" s="178"/>
      <c r="J51" s="142"/>
      <c r="K51" s="178"/>
      <c r="L51" s="202"/>
      <c r="M51"/>
      <c r="N51" s="257"/>
      <c r="O51"/>
      <c r="P51"/>
      <c r="Q51"/>
      <c r="R51" s="165"/>
    </row>
    <row r="52" spans="2:18" ht="5.25" customHeight="1">
      <c r="B52" s="164"/>
      <c r="C52" s="171"/>
      <c r="D52" s="167"/>
      <c r="E52" s="178"/>
      <c r="F52" s="142"/>
      <c r="G52" s="178"/>
      <c r="H52" s="231"/>
      <c r="I52" s="178"/>
      <c r="J52" s="186"/>
      <c r="K52" s="178"/>
      <c r="L52" s="186"/>
      <c r="M52"/>
      <c r="N52" s="186"/>
      <c r="O52"/>
      <c r="P52"/>
      <c r="Q52"/>
      <c r="R52" s="165"/>
    </row>
    <row r="53" spans="2:18" ht="15" customHeight="1">
      <c r="B53" s="164"/>
      <c r="C53" s="171"/>
      <c r="D53" s="193" t="s">
        <v>58</v>
      </c>
      <c r="E53" s="178"/>
      <c r="F53" s="49">
        <v>20</v>
      </c>
      <c r="G53" s="178"/>
      <c r="H53" s="228">
        <v>20</v>
      </c>
      <c r="I53" s="178"/>
      <c r="J53" s="142"/>
      <c r="K53" s="178"/>
      <c r="L53" s="202"/>
      <c r="M53"/>
      <c r="N53" s="257"/>
      <c r="O53"/>
      <c r="P53"/>
      <c r="Q53"/>
      <c r="R53" s="165"/>
    </row>
    <row r="54" spans="2:18" ht="5.25" customHeight="1">
      <c r="B54" s="164"/>
      <c r="C54" s="171"/>
      <c r="D54" s="167"/>
      <c r="E54" s="178"/>
      <c r="F54" s="142"/>
      <c r="G54" s="178"/>
      <c r="H54" s="231"/>
      <c r="I54" s="178"/>
      <c r="J54" s="186"/>
      <c r="K54" s="178"/>
      <c r="L54" s="186"/>
      <c r="M54"/>
      <c r="N54" s="186"/>
      <c r="O54"/>
      <c r="P54"/>
      <c r="Q54"/>
      <c r="R54" s="165"/>
    </row>
    <row r="55" spans="2:18" ht="18" collapsed="1">
      <c r="B55" s="164"/>
      <c r="C55" s="192"/>
      <c r="D55" s="189" t="s">
        <v>81</v>
      </c>
      <c r="E55" s="189"/>
      <c r="F55" s="189"/>
      <c r="G55" s="189"/>
      <c r="H55" s="232"/>
      <c r="I55" s="189"/>
      <c r="J55" s="189"/>
      <c r="K55" s="189"/>
      <c r="L55" s="189"/>
      <c r="M55" s="189"/>
      <c r="N55" s="189"/>
      <c r="O55" s="189"/>
      <c r="P55" s="189"/>
      <c r="Q55" s="189"/>
      <c r="R55" s="165"/>
    </row>
    <row r="56" spans="2:18" ht="5.25" customHeight="1">
      <c r="B56" s="164"/>
      <c r="C56" s="171"/>
      <c r="D56" s="167"/>
      <c r="E56" s="178"/>
      <c r="F56" s="178"/>
      <c r="G56" s="178"/>
      <c r="H56" s="230"/>
      <c r="I56" s="178"/>
      <c r="J56" s="178"/>
      <c r="K56" s="178"/>
      <c r="L56" s="178"/>
      <c r="M56"/>
      <c r="N56" s="178"/>
      <c r="O56"/>
      <c r="P56"/>
      <c r="Q56"/>
      <c r="R56" s="165"/>
    </row>
    <row r="57" spans="2:18" ht="15.75" customHeight="1">
      <c r="B57" s="164"/>
      <c r="C57" s="171"/>
      <c r="D57" s="193" t="s">
        <v>41</v>
      </c>
      <c r="E57" s="178"/>
      <c r="F57" s="49">
        <v>1</v>
      </c>
      <c r="G57" s="178"/>
      <c r="H57" s="228">
        <v>1</v>
      </c>
      <c r="I57" s="178"/>
      <c r="J57" s="142"/>
      <c r="K57" s="178"/>
      <c r="L57" s="202"/>
      <c r="M57"/>
      <c r="N57" s="257"/>
      <c r="O57"/>
      <c r="P57"/>
      <c r="Q57"/>
      <c r="R57" s="165"/>
    </row>
    <row r="58" spans="2:18" ht="5.25" customHeight="1">
      <c r="B58" s="164"/>
      <c r="C58" s="171"/>
      <c r="D58" s="167"/>
      <c r="E58" s="178"/>
      <c r="F58" s="142"/>
      <c r="G58" s="178"/>
      <c r="H58" s="231"/>
      <c r="I58" s="178"/>
      <c r="J58" s="186"/>
      <c r="K58" s="178"/>
      <c r="L58" s="186"/>
      <c r="M58"/>
      <c r="N58" s="186"/>
      <c r="O58"/>
      <c r="P58"/>
      <c r="Q58"/>
      <c r="R58" s="165"/>
    </row>
    <row r="59" spans="2:18" ht="18">
      <c r="B59" s="164"/>
      <c r="C59" s="192"/>
      <c r="D59" s="193" t="s">
        <v>59</v>
      </c>
      <c r="E59" s="195"/>
      <c r="F59" s="49">
        <v>10</v>
      </c>
      <c r="G59" s="178"/>
      <c r="H59" s="228">
        <v>10</v>
      </c>
      <c r="I59" s="178"/>
      <c r="J59" s="142"/>
      <c r="K59" s="178"/>
      <c r="L59" s="202"/>
      <c r="M59"/>
      <c r="N59" s="257"/>
      <c r="O59"/>
      <c r="P59"/>
      <c r="Q59"/>
      <c r="R59" s="165"/>
    </row>
    <row r="60" spans="2:18" ht="5.25" customHeight="1">
      <c r="B60" s="164"/>
      <c r="C60" s="171"/>
      <c r="D60" s="167"/>
      <c r="E60" s="178"/>
      <c r="F60" s="142"/>
      <c r="G60" s="178"/>
      <c r="H60" s="231"/>
      <c r="I60" s="178"/>
      <c r="J60" s="186"/>
      <c r="K60" s="178"/>
      <c r="L60" s="186"/>
      <c r="M60"/>
      <c r="N60" s="186"/>
      <c r="O60"/>
      <c r="P60"/>
      <c r="Q60"/>
      <c r="R60" s="165"/>
    </row>
    <row r="61" spans="2:18" ht="15.75" customHeight="1">
      <c r="B61" s="164"/>
      <c r="C61" s="171"/>
      <c r="D61" s="193" t="s">
        <v>42</v>
      </c>
      <c r="E61" s="178"/>
      <c r="F61" s="49">
        <v>1</v>
      </c>
      <c r="G61" s="178"/>
      <c r="H61" s="228">
        <v>1</v>
      </c>
      <c r="I61" s="178"/>
      <c r="J61" s="142"/>
      <c r="K61" s="178"/>
      <c r="L61" s="202"/>
      <c r="M61"/>
      <c r="N61" s="257"/>
      <c r="O61"/>
      <c r="P61"/>
      <c r="Q61"/>
      <c r="R61" s="165"/>
    </row>
    <row r="62" spans="2:18" ht="5.25" customHeight="1">
      <c r="B62" s="164"/>
      <c r="C62" s="171"/>
      <c r="D62" s="167"/>
      <c r="E62" s="178"/>
      <c r="F62" s="142"/>
      <c r="G62" s="178"/>
      <c r="H62" s="231"/>
      <c r="I62" s="178"/>
      <c r="J62" s="186"/>
      <c r="K62" s="178"/>
      <c r="L62" s="186"/>
      <c r="M62"/>
      <c r="N62" s="186"/>
      <c r="O62"/>
      <c r="P62"/>
      <c r="Q62"/>
      <c r="R62" s="165"/>
    </row>
    <row r="63" spans="2:18" ht="18">
      <c r="B63" s="164"/>
      <c r="C63" s="192"/>
      <c r="D63" s="193" t="s">
        <v>97</v>
      </c>
      <c r="E63" s="195"/>
      <c r="F63" s="49">
        <v>1</v>
      </c>
      <c r="G63" s="178"/>
      <c r="H63" s="228">
        <v>1</v>
      </c>
      <c r="I63" s="178"/>
      <c r="J63" s="142"/>
      <c r="K63" s="178"/>
      <c r="L63" s="202"/>
      <c r="M63"/>
      <c r="N63" s="257"/>
      <c r="O63"/>
      <c r="P63"/>
      <c r="Q63"/>
      <c r="R63" s="165"/>
    </row>
    <row r="64" spans="2:18" ht="5.25" customHeight="1">
      <c r="B64" s="164"/>
      <c r="C64" s="171"/>
      <c r="D64" s="167"/>
      <c r="E64" s="178"/>
      <c r="F64" s="142"/>
      <c r="G64" s="178"/>
      <c r="H64" s="231"/>
      <c r="I64" s="178"/>
      <c r="J64" s="186"/>
      <c r="K64" s="178"/>
      <c r="L64" s="186"/>
      <c r="M64"/>
      <c r="N64" s="186"/>
      <c r="O64"/>
      <c r="P64"/>
      <c r="Q64"/>
      <c r="R64" s="165"/>
    </row>
    <row r="65" spans="2:22" ht="18" collapsed="1">
      <c r="B65" s="164"/>
      <c r="C65" s="192"/>
      <c r="D65" s="189" t="s">
        <v>102</v>
      </c>
      <c r="E65" s="189"/>
      <c r="F65" s="189"/>
      <c r="G65" s="189"/>
      <c r="H65" s="232"/>
      <c r="I65" s="189"/>
      <c r="J65" s="189"/>
      <c r="K65" s="189"/>
      <c r="L65" s="189"/>
      <c r="M65" s="189"/>
      <c r="N65" s="189"/>
      <c r="O65" s="189"/>
      <c r="P65" s="189"/>
      <c r="Q65" s="189"/>
      <c r="R65" s="165"/>
    </row>
    <row r="66" spans="2:22" ht="5.25" customHeight="1">
      <c r="B66" s="164"/>
      <c r="C66" s="171"/>
      <c r="D66" s="167"/>
      <c r="E66" s="178"/>
      <c r="F66" s="178"/>
      <c r="G66" s="178"/>
      <c r="H66" s="230"/>
      <c r="I66" s="178"/>
      <c r="J66" s="178"/>
      <c r="K66" s="178"/>
      <c r="L66" s="178"/>
      <c r="M66"/>
      <c r="N66" s="178"/>
      <c r="O66"/>
      <c r="P66"/>
      <c r="Q66"/>
      <c r="R66" s="165"/>
    </row>
    <row r="67" spans="2:22" ht="15.75" customHeight="1">
      <c r="B67" s="164"/>
      <c r="C67" s="171"/>
      <c r="D67" s="193" t="s">
        <v>229</v>
      </c>
      <c r="E67" s="178"/>
      <c r="F67" s="47">
        <v>0.1</v>
      </c>
      <c r="G67" s="178"/>
      <c r="H67" s="48">
        <v>0.1</v>
      </c>
      <c r="I67" s="178"/>
      <c r="J67" s="142"/>
      <c r="K67" s="178"/>
      <c r="L67" s="202"/>
      <c r="M67"/>
      <c r="N67" s="257"/>
      <c r="O67"/>
      <c r="P67"/>
      <c r="Q67"/>
      <c r="R67" s="165"/>
    </row>
    <row r="68" spans="2:22" ht="5.25" customHeight="1">
      <c r="B68" s="164"/>
      <c r="C68" s="171"/>
      <c r="D68" s="167"/>
      <c r="E68" s="178"/>
      <c r="F68" s="258"/>
      <c r="G68" s="178"/>
      <c r="H68" s="231"/>
      <c r="I68" s="178"/>
      <c r="J68" s="186"/>
      <c r="K68" s="178"/>
      <c r="L68" s="186"/>
      <c r="M68"/>
      <c r="N68" s="186"/>
      <c r="O68"/>
      <c r="P68"/>
      <c r="Q68"/>
      <c r="R68" s="165"/>
      <c r="V68" s="281"/>
    </row>
    <row r="69" spans="2:22" ht="18">
      <c r="B69" s="164"/>
      <c r="C69" s="192"/>
      <c r="D69" s="193" t="s">
        <v>228</v>
      </c>
      <c r="E69" s="195"/>
      <c r="F69" s="47">
        <v>0.1</v>
      </c>
      <c r="G69" s="178"/>
      <c r="H69" s="48">
        <v>0.1</v>
      </c>
      <c r="I69" s="178"/>
      <c r="J69" s="258"/>
      <c r="K69" s="178"/>
      <c r="L69" s="258"/>
      <c r="M69"/>
      <c r="N69" s="258"/>
      <c r="O69"/>
      <c r="P69"/>
      <c r="Q69"/>
      <c r="R69" s="165"/>
    </row>
    <row r="70" spans="2:22" ht="5.25" customHeight="1">
      <c r="B70" s="164"/>
      <c r="C70" s="171"/>
      <c r="D70" s="167"/>
      <c r="E70" s="178"/>
      <c r="F70" s="142"/>
      <c r="G70" s="178"/>
      <c r="H70" s="231"/>
      <c r="I70" s="178"/>
      <c r="J70" s="186"/>
      <c r="K70" s="178"/>
      <c r="L70" s="186"/>
      <c r="M70"/>
      <c r="N70" s="186"/>
      <c r="O70"/>
      <c r="P70"/>
      <c r="Q70"/>
      <c r="R70" s="165"/>
    </row>
    <row r="71" spans="2:22" ht="18">
      <c r="B71" s="164"/>
      <c r="C71" s="192"/>
      <c r="D71" s="42" t="s">
        <v>221</v>
      </c>
      <c r="E71" s="195"/>
      <c r="F71" s="49">
        <v>5</v>
      </c>
      <c r="G71" s="178"/>
      <c r="H71" s="228">
        <v>5</v>
      </c>
      <c r="I71" s="178"/>
      <c r="J71" s="276" t="s">
        <v>230</v>
      </c>
      <c r="K71" s="178"/>
      <c r="L71" s="202"/>
      <c r="M71"/>
      <c r="N71" s="257"/>
      <c r="O71"/>
      <c r="P71"/>
      <c r="Q71"/>
      <c r="R71" s="165"/>
    </row>
    <row r="72" spans="2:22" ht="5.25" customHeight="1">
      <c r="B72" s="164"/>
      <c r="C72" s="171"/>
      <c r="D72" s="167"/>
      <c r="E72" s="178"/>
      <c r="F72" s="178"/>
      <c r="G72" s="178"/>
      <c r="H72" s="230"/>
      <c r="I72" s="178"/>
      <c r="J72" s="178"/>
      <c r="K72" s="178"/>
      <c r="L72" s="178"/>
      <c r="M72"/>
      <c r="N72" s="178"/>
      <c r="O72"/>
      <c r="P72"/>
      <c r="Q72"/>
      <c r="R72" s="165"/>
    </row>
    <row r="73" spans="2:22" ht="18" collapsed="1">
      <c r="B73" s="164"/>
      <c r="C73" s="192"/>
      <c r="D73" s="189" t="s">
        <v>105</v>
      </c>
      <c r="E73" s="189"/>
      <c r="F73" s="189"/>
      <c r="G73" s="189"/>
      <c r="H73" s="232"/>
      <c r="I73" s="189"/>
      <c r="J73" s="189"/>
      <c r="K73" s="189"/>
      <c r="L73" s="189"/>
      <c r="M73" s="189"/>
      <c r="N73" s="189"/>
      <c r="O73" s="189"/>
      <c r="P73" s="189"/>
      <c r="Q73" s="189"/>
      <c r="R73" s="165"/>
    </row>
    <row r="74" spans="2:22" ht="5.25" customHeight="1">
      <c r="B74" s="164"/>
      <c r="C74" s="171"/>
      <c r="D74" s="167"/>
      <c r="E74" s="178"/>
      <c r="F74" s="178"/>
      <c r="G74" s="178"/>
      <c r="H74" s="230"/>
      <c r="I74" s="178"/>
      <c r="J74" s="178"/>
      <c r="K74" s="178"/>
      <c r="L74" s="178"/>
      <c r="M74"/>
      <c r="N74" s="178"/>
      <c r="O74"/>
      <c r="P74"/>
      <c r="Q74"/>
      <c r="R74" s="165"/>
    </row>
    <row r="75" spans="2:22" ht="15.75" customHeight="1">
      <c r="B75" s="164"/>
      <c r="C75" s="171"/>
      <c r="D75" s="193" t="s">
        <v>76</v>
      </c>
      <c r="E75" s="178"/>
      <c r="F75" s="49">
        <v>25</v>
      </c>
      <c r="G75" s="178"/>
      <c r="H75" s="228">
        <v>25</v>
      </c>
      <c r="I75" s="178"/>
      <c r="J75" s="142"/>
      <c r="K75" s="178"/>
      <c r="L75" s="202"/>
      <c r="M75"/>
      <c r="N75" s="257"/>
      <c r="O75"/>
      <c r="P75"/>
      <c r="Q75"/>
      <c r="R75" s="165"/>
    </row>
    <row r="76" spans="2:22" ht="5.25" customHeight="1">
      <c r="B76" s="164"/>
      <c r="C76" s="171"/>
      <c r="D76" s="167"/>
      <c r="E76" s="178"/>
      <c r="F76" s="142"/>
      <c r="G76" s="178"/>
      <c r="H76" s="231"/>
      <c r="I76" s="178"/>
      <c r="J76" s="186"/>
      <c r="K76" s="178"/>
      <c r="L76" s="186"/>
      <c r="M76"/>
      <c r="N76" s="186"/>
      <c r="O76"/>
      <c r="P76"/>
      <c r="Q76"/>
      <c r="R76" s="165"/>
    </row>
    <row r="77" spans="2:22" ht="18">
      <c r="B77" s="164"/>
      <c r="C77" s="192"/>
      <c r="D77" s="193" t="s">
        <v>24</v>
      </c>
      <c r="E77" s="195"/>
      <c r="F77" s="49">
        <v>63</v>
      </c>
      <c r="G77" s="178"/>
      <c r="H77" s="228">
        <v>63</v>
      </c>
      <c r="I77" s="178"/>
      <c r="J77" s="142"/>
      <c r="K77" s="178"/>
      <c r="L77" s="202"/>
      <c r="M77"/>
      <c r="N77" s="257"/>
      <c r="O77"/>
      <c r="P77"/>
      <c r="Q77"/>
      <c r="R77" s="165"/>
    </row>
    <row r="78" spans="2:22" ht="5.25" customHeight="1">
      <c r="B78" s="164"/>
      <c r="C78" s="171"/>
      <c r="D78" s="167"/>
      <c r="E78" s="178"/>
      <c r="F78" s="142"/>
      <c r="G78" s="178"/>
      <c r="H78" s="231"/>
      <c r="I78" s="178"/>
      <c r="J78" s="186"/>
      <c r="K78" s="178"/>
      <c r="L78" s="186"/>
      <c r="M78"/>
      <c r="N78" s="186"/>
      <c r="O78"/>
      <c r="P78"/>
      <c r="Q78"/>
      <c r="R78" s="165"/>
    </row>
    <row r="79" spans="2:22" ht="15.75" customHeight="1">
      <c r="B79" s="164"/>
      <c r="C79" s="171"/>
      <c r="D79" s="193" t="s">
        <v>77</v>
      </c>
      <c r="E79" s="178"/>
      <c r="F79" s="49">
        <v>4</v>
      </c>
      <c r="G79" s="178"/>
      <c r="H79" s="228">
        <v>4</v>
      </c>
      <c r="I79" s="178"/>
      <c r="J79" s="142"/>
      <c r="K79" s="178"/>
      <c r="L79" s="202"/>
      <c r="M79"/>
      <c r="N79" s="257"/>
      <c r="O79"/>
      <c r="P79"/>
      <c r="Q79"/>
      <c r="R79" s="165"/>
    </row>
    <row r="80" spans="2:22" ht="5.25" customHeight="1">
      <c r="B80" s="164"/>
      <c r="C80" s="171"/>
      <c r="D80" s="167"/>
      <c r="E80" s="178"/>
      <c r="F80" s="142"/>
      <c r="G80" s="178"/>
      <c r="H80" s="231"/>
      <c r="I80" s="178"/>
      <c r="J80" s="186"/>
      <c r="K80" s="178"/>
      <c r="L80" s="186"/>
      <c r="M80"/>
      <c r="N80" s="186"/>
      <c r="O80"/>
      <c r="P80"/>
      <c r="Q80"/>
      <c r="R80" s="165"/>
    </row>
    <row r="81" spans="2:18" ht="18">
      <c r="B81" s="164"/>
      <c r="C81" s="192"/>
      <c r="D81" s="193" t="s">
        <v>25</v>
      </c>
      <c r="E81" s="195"/>
      <c r="F81" s="49">
        <v>2</v>
      </c>
      <c r="G81" s="178"/>
      <c r="H81" s="228">
        <v>2</v>
      </c>
      <c r="I81" s="178"/>
      <c r="J81" s="142"/>
      <c r="K81" s="178"/>
      <c r="L81" s="202"/>
      <c r="M81"/>
      <c r="N81" s="257"/>
      <c r="O81"/>
      <c r="P81"/>
      <c r="Q81"/>
      <c r="R81" s="165"/>
    </row>
    <row r="82" spans="2:18" ht="5.25" customHeight="1">
      <c r="B82" s="164"/>
      <c r="C82" s="171"/>
      <c r="D82" s="167"/>
      <c r="E82" s="178"/>
      <c r="F82" s="178"/>
      <c r="G82" s="178"/>
      <c r="H82" s="230"/>
      <c r="I82" s="178"/>
      <c r="J82" s="178"/>
      <c r="K82" s="178"/>
      <c r="L82" s="178"/>
      <c r="M82"/>
      <c r="N82" s="178"/>
      <c r="O82"/>
      <c r="P82"/>
      <c r="Q82"/>
      <c r="R82" s="165"/>
    </row>
    <row r="83" spans="2:18" ht="18" collapsed="1">
      <c r="B83" s="164"/>
      <c r="C83" s="192"/>
      <c r="D83" s="189" t="s">
        <v>34</v>
      </c>
      <c r="E83" s="189"/>
      <c r="F83" s="189"/>
      <c r="G83" s="189"/>
      <c r="H83" s="232"/>
      <c r="I83" s="189"/>
      <c r="J83" s="189"/>
      <c r="K83" s="189"/>
      <c r="L83" s="189"/>
      <c r="M83" s="189"/>
      <c r="N83" s="189"/>
      <c r="O83" s="189"/>
      <c r="P83" s="189"/>
      <c r="Q83" s="189"/>
      <c r="R83" s="165"/>
    </row>
    <row r="84" spans="2:18" ht="5.25" customHeight="1">
      <c r="B84" s="164"/>
      <c r="C84" s="171"/>
      <c r="D84" s="167"/>
      <c r="E84" s="178"/>
      <c r="F84" s="178"/>
      <c r="G84" s="178"/>
      <c r="H84" s="230"/>
      <c r="I84" s="178"/>
      <c r="J84" s="178"/>
      <c r="K84" s="178"/>
      <c r="L84" s="178"/>
      <c r="M84"/>
      <c r="N84" s="178"/>
      <c r="O84"/>
      <c r="P84"/>
      <c r="Q84"/>
      <c r="R84" s="165"/>
    </row>
    <row r="85" spans="2:18" ht="15.75" customHeight="1">
      <c r="B85" s="164"/>
      <c r="C85" s="171"/>
      <c r="D85" s="193" t="s">
        <v>104</v>
      </c>
      <c r="E85" s="178"/>
      <c r="F85" s="49">
        <v>40</v>
      </c>
      <c r="G85" s="178"/>
      <c r="H85" s="228">
        <v>40</v>
      </c>
      <c r="I85" s="178"/>
      <c r="J85" s="142"/>
      <c r="K85" s="178"/>
      <c r="L85" s="202"/>
      <c r="M85"/>
      <c r="N85" s="257"/>
      <c r="O85"/>
      <c r="P85"/>
      <c r="Q85"/>
      <c r="R85" s="165"/>
    </row>
    <row r="86" spans="2:18" ht="5.25" customHeight="1">
      <c r="B86" s="164"/>
      <c r="C86" s="171"/>
      <c r="D86" s="167"/>
      <c r="E86" s="178"/>
      <c r="F86" s="142"/>
      <c r="G86" s="178"/>
      <c r="H86" s="231"/>
      <c r="I86" s="178"/>
      <c r="J86" s="186"/>
      <c r="K86" s="178"/>
      <c r="L86" s="186"/>
      <c r="M86"/>
      <c r="N86" s="186"/>
      <c r="O86"/>
      <c r="P86"/>
      <c r="Q86"/>
      <c r="R86" s="165"/>
    </row>
    <row r="87" spans="2:18" ht="18">
      <c r="B87" s="164"/>
      <c r="C87" s="192"/>
      <c r="D87" s="193" t="s">
        <v>35</v>
      </c>
      <c r="E87" s="195"/>
      <c r="F87" s="49">
        <v>10</v>
      </c>
      <c r="G87" s="178"/>
      <c r="H87" s="228">
        <v>10</v>
      </c>
      <c r="I87" s="178"/>
      <c r="J87" s="142"/>
      <c r="K87" s="178"/>
      <c r="L87" s="202"/>
      <c r="M87"/>
      <c r="N87" s="257"/>
      <c r="O87"/>
      <c r="P87"/>
      <c r="Q87"/>
      <c r="R87" s="165"/>
    </row>
    <row r="88" spans="2:18" ht="5.25" customHeight="1">
      <c r="B88" s="164"/>
      <c r="C88" s="171"/>
      <c r="D88" s="167"/>
      <c r="E88" s="178"/>
      <c r="F88" s="142"/>
      <c r="G88" s="178"/>
      <c r="H88" s="186"/>
      <c r="I88" s="178"/>
      <c r="J88" s="186"/>
      <c r="K88" s="178"/>
      <c r="L88" s="186"/>
      <c r="M88"/>
      <c r="N88" s="186"/>
      <c r="O88"/>
      <c r="P88"/>
      <c r="Q88"/>
      <c r="R88" s="165"/>
    </row>
    <row r="89" spans="2:18" ht="18" collapsed="1">
      <c r="B89" s="164"/>
      <c r="C89" s="314"/>
      <c r="D89" s="314"/>
      <c r="E89" s="314"/>
      <c r="F89" s="314"/>
      <c r="G89" s="314"/>
      <c r="H89" s="314"/>
      <c r="I89" s="314"/>
      <c r="J89" s="314"/>
      <c r="K89" s="314"/>
      <c r="L89" s="314"/>
      <c r="M89" s="314"/>
      <c r="N89" s="314"/>
      <c r="O89" s="314"/>
      <c r="P89" s="165"/>
      <c r="Q89" s="165"/>
      <c r="R89" s="165"/>
    </row>
    <row r="94" spans="2:18" ht="15.75">
      <c r="D94"/>
      <c r="E94"/>
      <c r="F94"/>
      <c r="G94"/>
      <c r="I94"/>
      <c r="K94"/>
    </row>
    <row r="95" spans="2:18" ht="15.75">
      <c r="D95"/>
      <c r="E95"/>
      <c r="F95"/>
      <c r="G95"/>
      <c r="I95"/>
      <c r="K95"/>
    </row>
    <row r="96" spans="2:18" ht="15.75">
      <c r="D96"/>
      <c r="E96"/>
      <c r="F96"/>
      <c r="G96"/>
      <c r="I96"/>
      <c r="K96"/>
    </row>
    <row r="97" spans="4:11" ht="15.75">
      <c r="D97"/>
      <c r="E97"/>
      <c r="F97"/>
      <c r="G97"/>
      <c r="I97"/>
      <c r="K97"/>
    </row>
    <row r="98" spans="4:11" ht="15.75">
      <c r="D98"/>
      <c r="E98"/>
      <c r="F98"/>
      <c r="G98"/>
      <c r="I98"/>
      <c r="K98"/>
    </row>
  </sheetData>
  <mergeCells count="10">
    <mergeCell ref="M41:N45"/>
    <mergeCell ref="C89:O89"/>
    <mergeCell ref="C2:O2"/>
    <mergeCell ref="M32:N32"/>
    <mergeCell ref="M37:N37"/>
    <mergeCell ref="M35:N35"/>
    <mergeCell ref="J32:L32"/>
    <mergeCell ref="C3:Q3"/>
    <mergeCell ref="C30:Q30"/>
    <mergeCell ref="B4:R4"/>
  </mergeCells>
  <conditionalFormatting sqref="L26">
    <cfRule type="cellIs" dxfId="38" priority="62" operator="greaterThan">
      <formula>0</formula>
    </cfRule>
    <cfRule type="cellIs" dxfId="37" priority="64" operator="lessThanOrEqual">
      <formula>0</formula>
    </cfRule>
  </conditionalFormatting>
  <conditionalFormatting sqref="L13 L15 L17">
    <cfRule type="cellIs" dxfId="36" priority="49" operator="equal">
      <formula>1.05</formula>
    </cfRule>
    <cfRule type="cellIs" dxfId="35" priority="50" operator="equal">
      <formula>0.95</formula>
    </cfRule>
    <cfRule type="cellIs" dxfId="34" priority="54" operator="between">
      <formula>0.95</formula>
      <formula>1.05</formula>
    </cfRule>
    <cfRule type="cellIs" dxfId="33" priority="55" operator="between">
      <formula>0.5</formula>
      <formula>0.95</formula>
    </cfRule>
    <cfRule type="cellIs" dxfId="32" priority="56" operator="greaterThanOrEqual">
      <formula>1.5</formula>
    </cfRule>
    <cfRule type="cellIs" dxfId="31" priority="57" operator="lessThanOrEqual">
      <formula>0.5</formula>
    </cfRule>
    <cfRule type="cellIs" dxfId="30" priority="58" operator="between">
      <formula>1.05</formula>
      <formula>1.5</formula>
    </cfRule>
  </conditionalFormatting>
  <conditionalFormatting sqref="J11 J13 J15 J17 L17 L15 L13">
    <cfRule type="cellIs" dxfId="29" priority="47" operator="greaterThan">
      <formula>1</formula>
    </cfRule>
  </conditionalFormatting>
  <conditionalFormatting sqref="J11 J13 J15 J17 L13 L15 L17">
    <cfRule type="cellIs" dxfId="28" priority="46" operator="lessThanOrEqual">
      <formula>1</formula>
    </cfRule>
  </conditionalFormatting>
  <conditionalFormatting sqref="P26">
    <cfRule type="cellIs" dxfId="27" priority="22" operator="greaterThan">
      <formula>0</formula>
    </cfRule>
    <cfRule type="cellIs" dxfId="26" priority="23" operator="lessThanOrEqual">
      <formula>0</formula>
    </cfRule>
  </conditionalFormatting>
  <conditionalFormatting sqref="N26">
    <cfRule type="cellIs" dxfId="25" priority="18" operator="greaterThan">
      <formula>0</formula>
    </cfRule>
    <cfRule type="cellIs" dxfId="24" priority="19" operator="lessThanOrEqual">
      <formula>0</formula>
    </cfRule>
  </conditionalFormatting>
  <conditionalFormatting sqref="L28">
    <cfRule type="cellIs" dxfId="23" priority="16" operator="greaterThan">
      <formula>0</formula>
    </cfRule>
    <cfRule type="cellIs" dxfId="22" priority="17" operator="lessThanOrEqual">
      <formula>0</formula>
    </cfRule>
  </conditionalFormatting>
  <conditionalFormatting sqref="P28">
    <cfRule type="cellIs" dxfId="21" priority="10" operator="greaterThan">
      <formula>0</formula>
    </cfRule>
    <cfRule type="cellIs" dxfId="20" priority="11" operator="lessThanOrEqual">
      <formula>0</formula>
    </cfRule>
  </conditionalFormatting>
  <conditionalFormatting sqref="N28">
    <cfRule type="cellIs" dxfId="19" priority="8" operator="greaterThan">
      <formula>0</formula>
    </cfRule>
    <cfRule type="cellIs" dxfId="18" priority="9" operator="lessThanOrEqual">
      <formula>0</formula>
    </cfRule>
  </conditionalFormatting>
  <conditionalFormatting sqref="H28 F26 F28">
    <cfRule type="cellIs" dxfId="17" priority="1" operator="lessThan">
      <formula>$J26</formula>
    </cfRule>
  </conditionalFormatting>
  <dataValidations count="2">
    <dataValidation type="list" allowBlank="1" showInputMessage="1" showErrorMessage="1" sqref="F6">
      <formula1>option_results_time</formula1>
    </dataValidation>
    <dataValidation showInputMessage="1" showErrorMessage="1" sqref="L26"/>
  </dataValidations>
  <pageMargins left="0.7" right="0.7" top="0.75" bottom="0.75" header="0.3" footer="0.3"/>
  <pageSetup scale="74"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Button 1">
              <controlPr defaultSize="0" print="0" autoFill="0" autoPict="0" macro="[0]!Defaults_Cases">
                <anchor moveWithCells="1" sizeWithCells="1">
                  <from>
                    <xdr:col>13</xdr:col>
                    <xdr:colOff>523875</xdr:colOff>
                    <xdr:row>6</xdr:row>
                    <xdr:rowOff>123825</xdr:rowOff>
                  </from>
                  <to>
                    <xdr:col>14</xdr:col>
                    <xdr:colOff>123825</xdr:colOff>
                    <xdr:row>12</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323372"/>
    <pageSetUpPr autoPageBreaks="0"/>
  </sheetPr>
  <dimension ref="A1:R122"/>
  <sheetViews>
    <sheetView showGridLines="0" showOutlineSymbols="0" zoomScale="76" zoomScaleNormal="90" workbookViewId="0"/>
  </sheetViews>
  <sheetFormatPr defaultColWidth="8.25" defaultRowHeight="20.25" outlineLevelRow="1"/>
  <cols>
    <col min="1" max="1" width="8.25" style="58" customWidth="1"/>
    <col min="2" max="2" width="2.625" style="2" customWidth="1"/>
    <col min="3" max="3" width="5.125" style="59" customWidth="1"/>
    <col min="4" max="4" width="2.75" style="73" customWidth="1"/>
    <col min="5" max="5" width="56.75" style="73" customWidth="1"/>
    <col min="6" max="6" width="20.75" style="73" bestFit="1" customWidth="1"/>
    <col min="7" max="7" width="19.25" style="73" customWidth="1"/>
    <col min="8" max="8" width="20.75" style="73" customWidth="1"/>
    <col min="9" max="16" width="14.125" style="73" customWidth="1"/>
    <col min="17" max="17" width="8.25" style="73" customWidth="1"/>
    <col min="18" max="18" width="2.625" style="2" customWidth="1"/>
    <col min="19" max="16384" width="8.25" style="73"/>
  </cols>
  <sheetData>
    <row r="1" spans="1:18" s="56" customFormat="1" ht="18" customHeight="1">
      <c r="B1" s="2"/>
      <c r="C1" s="57"/>
      <c r="R1" s="2"/>
    </row>
    <row r="2" spans="1:18" s="53" customFormat="1" ht="15" collapsed="1">
      <c r="B2" s="5"/>
      <c r="C2" s="309"/>
      <c r="D2" s="309"/>
      <c r="E2" s="309"/>
      <c r="F2" s="309"/>
      <c r="G2" s="309"/>
      <c r="H2" s="309"/>
      <c r="I2" s="309"/>
      <c r="J2" s="309"/>
      <c r="K2" s="309"/>
      <c r="L2" s="309"/>
      <c r="M2" s="309"/>
      <c r="N2" s="309"/>
      <c r="O2" s="54"/>
      <c r="P2" s="54"/>
      <c r="Q2" s="54"/>
      <c r="R2" s="1"/>
    </row>
    <row r="3" spans="1:18" s="2" customFormat="1" ht="45" customHeight="1">
      <c r="B3" s="5"/>
      <c r="C3" s="310" t="s">
        <v>72</v>
      </c>
      <c r="D3" s="310"/>
      <c r="E3" s="310"/>
      <c r="F3" s="310"/>
      <c r="G3" s="310"/>
      <c r="H3" s="310"/>
      <c r="I3" s="310"/>
      <c r="J3" s="310"/>
      <c r="K3" s="310"/>
      <c r="L3" s="310"/>
      <c r="M3" s="310"/>
      <c r="N3" s="310"/>
      <c r="O3" s="310"/>
      <c r="P3" s="310"/>
      <c r="Q3" s="310"/>
      <c r="R3" s="1"/>
    </row>
    <row r="4" spans="1:18" s="53" customFormat="1" ht="18" collapsed="1">
      <c r="B4" s="308" t="s">
        <v>199</v>
      </c>
      <c r="C4" s="308"/>
      <c r="D4" s="308"/>
      <c r="E4" s="308"/>
      <c r="F4" s="308"/>
      <c r="G4" s="308"/>
      <c r="H4" s="308"/>
      <c r="I4" s="308"/>
      <c r="J4" s="308"/>
      <c r="K4" s="308"/>
      <c r="L4" s="308"/>
      <c r="M4" s="308"/>
      <c r="N4" s="308"/>
      <c r="O4" s="308"/>
      <c r="P4" s="308"/>
      <c r="Q4" s="308"/>
      <c r="R4" s="1"/>
    </row>
    <row r="5" spans="1:18" s="60" customFormat="1" ht="20.100000000000001" customHeight="1">
      <c r="A5" s="58"/>
      <c r="B5" s="5"/>
      <c r="C5" s="59"/>
      <c r="D5" s="59"/>
      <c r="E5" s="59"/>
      <c r="F5" s="59"/>
      <c r="G5" s="59"/>
      <c r="H5" s="59"/>
      <c r="I5" s="59"/>
      <c r="J5" s="59"/>
      <c r="K5" s="59"/>
      <c r="L5" s="59"/>
      <c r="M5" s="59"/>
      <c r="N5" s="59"/>
      <c r="O5" s="59"/>
      <c r="P5" s="59"/>
      <c r="Q5" s="59"/>
      <c r="R5" s="1"/>
    </row>
    <row r="6" spans="1:18" s="60" customFormat="1">
      <c r="A6" s="58"/>
      <c r="B6" s="5"/>
      <c r="C6" s="59"/>
      <c r="D6" s="62" t="s">
        <v>96</v>
      </c>
      <c r="E6" s="323" t="s">
        <v>200</v>
      </c>
      <c r="F6" s="323"/>
      <c r="G6" s="323"/>
      <c r="H6" s="323"/>
      <c r="I6" s="323"/>
      <c r="J6" s="323"/>
      <c r="K6" s="323"/>
      <c r="L6" s="323"/>
      <c r="M6" s="323"/>
      <c r="N6" s="323"/>
      <c r="O6" s="223"/>
      <c r="P6" s="223"/>
      <c r="Q6" s="216"/>
      <c r="R6" s="1"/>
    </row>
    <row r="7" spans="1:18" s="60" customFormat="1">
      <c r="A7" s="58"/>
      <c r="B7" s="5"/>
      <c r="C7" s="59"/>
      <c r="D7" s="62"/>
      <c r="E7" s="223"/>
      <c r="F7" s="223"/>
      <c r="G7" s="223"/>
      <c r="H7" s="223"/>
      <c r="I7" s="223"/>
      <c r="J7" s="223"/>
      <c r="K7" s="223"/>
      <c r="L7" s="223"/>
      <c r="M7" s="223"/>
      <c r="N7" s="223"/>
      <c r="O7" s="223"/>
      <c r="P7" s="223"/>
      <c r="Q7" s="216"/>
      <c r="R7" s="1"/>
    </row>
    <row r="8" spans="1:18" s="60" customFormat="1">
      <c r="A8" s="58"/>
      <c r="B8" s="5"/>
      <c r="C8" s="59"/>
      <c r="D8" s="62" t="s">
        <v>96</v>
      </c>
      <c r="E8" s="226" t="s">
        <v>201</v>
      </c>
      <c r="F8" s="331" t="s">
        <v>203</v>
      </c>
      <c r="G8" s="331"/>
      <c r="H8" s="326" t="s">
        <v>78</v>
      </c>
      <c r="I8" s="327"/>
      <c r="J8" s="327"/>
      <c r="K8" s="327"/>
      <c r="L8" s="327"/>
      <c r="M8" s="327"/>
      <c r="N8" s="327"/>
      <c r="O8" s="328"/>
      <c r="P8" s="223"/>
      <c r="Q8" s="216"/>
      <c r="R8" s="1"/>
    </row>
    <row r="9" spans="1:18" s="60" customFormat="1" ht="100.15" customHeight="1">
      <c r="A9" s="58"/>
      <c r="B9" s="5"/>
      <c r="C9" s="59"/>
      <c r="D9" s="61"/>
      <c r="E9" s="224" t="s">
        <v>92</v>
      </c>
      <c r="F9" s="329">
        <v>0.3</v>
      </c>
      <c r="G9" s="330"/>
      <c r="H9" s="324" t="s">
        <v>204</v>
      </c>
      <c r="I9" s="325"/>
      <c r="J9" s="325"/>
      <c r="K9" s="325"/>
      <c r="L9" s="325"/>
      <c r="M9" s="325"/>
      <c r="N9" s="325"/>
      <c r="O9" s="325"/>
      <c r="P9" s="70"/>
      <c r="Q9" s="70"/>
      <c r="R9" s="20"/>
    </row>
    <row r="10" spans="1:18" s="60" customFormat="1" ht="117.6" customHeight="1">
      <c r="A10" s="58"/>
      <c r="B10" s="5"/>
      <c r="C10" s="59"/>
      <c r="D10" s="61"/>
      <c r="E10" s="224" t="s">
        <v>202</v>
      </c>
      <c r="F10" s="69"/>
      <c r="G10" s="225"/>
      <c r="H10" s="319" t="s">
        <v>205</v>
      </c>
      <c r="I10" s="320"/>
      <c r="J10" s="320"/>
      <c r="K10" s="320"/>
      <c r="L10" s="320"/>
      <c r="M10" s="320"/>
      <c r="N10" s="320"/>
      <c r="O10" s="321"/>
      <c r="P10" s="218"/>
      <c r="Q10" s="218"/>
      <c r="R10" s="20"/>
    </row>
    <row r="11" spans="1:18" s="60" customFormat="1" ht="20.25" hidden="1" customHeight="1" outlineLevel="1">
      <c r="A11" s="58"/>
      <c r="B11" s="5"/>
      <c r="C11" s="59"/>
      <c r="D11" s="61"/>
      <c r="E11" s="67" t="s">
        <v>91</v>
      </c>
      <c r="F11" s="63"/>
      <c r="G11" s="63"/>
      <c r="H11" s="70"/>
      <c r="I11" s="70"/>
      <c r="J11" s="70"/>
      <c r="K11" s="70"/>
      <c r="L11" s="70"/>
      <c r="M11" s="70"/>
      <c r="N11" s="70"/>
      <c r="O11" s="70"/>
      <c r="P11" s="70"/>
      <c r="Q11" s="70"/>
      <c r="R11" s="20"/>
    </row>
    <row r="12" spans="1:18" s="60" customFormat="1" collapsed="1">
      <c r="A12" s="58"/>
      <c r="B12" s="5"/>
      <c r="C12" s="59"/>
      <c r="D12" s="71"/>
      <c r="E12" s="72"/>
      <c r="F12" s="73"/>
      <c r="G12" s="73"/>
      <c r="H12" s="73"/>
      <c r="I12" s="73"/>
      <c r="J12" s="73"/>
      <c r="K12" s="73"/>
      <c r="L12" s="73"/>
      <c r="M12" s="73"/>
      <c r="N12" s="73"/>
      <c r="O12" s="73"/>
      <c r="P12" s="73"/>
      <c r="Q12" s="73"/>
      <c r="R12" s="20"/>
    </row>
    <row r="13" spans="1:18" s="83" customFormat="1" ht="18" collapsed="1">
      <c r="B13" s="308" t="s">
        <v>198</v>
      </c>
      <c r="C13" s="308"/>
      <c r="D13" s="308"/>
      <c r="E13" s="308"/>
      <c r="F13" s="308"/>
      <c r="G13" s="308"/>
      <c r="H13" s="308"/>
      <c r="I13" s="308"/>
      <c r="J13" s="308"/>
      <c r="K13" s="308"/>
      <c r="L13" s="308"/>
      <c r="M13" s="308"/>
      <c r="N13" s="308"/>
      <c r="O13" s="308"/>
      <c r="P13" s="308"/>
      <c r="Q13" s="308"/>
      <c r="R13" s="1"/>
    </row>
    <row r="14" spans="1:18" s="83" customFormat="1" ht="18">
      <c r="B14" s="214"/>
      <c r="C14" s="41"/>
      <c r="D14" s="41"/>
      <c r="E14" s="41"/>
      <c r="F14" s="41"/>
      <c r="G14" s="41"/>
      <c r="H14" s="41"/>
      <c r="I14" s="41"/>
      <c r="J14" s="41"/>
      <c r="K14" s="41"/>
      <c r="L14" s="41"/>
      <c r="M14" s="41"/>
      <c r="N14" s="41"/>
      <c r="O14" s="41"/>
      <c r="P14" s="41"/>
      <c r="Q14" s="41"/>
      <c r="R14" s="1"/>
    </row>
    <row r="15" spans="1:18" s="60" customFormat="1">
      <c r="A15" s="58"/>
      <c r="B15" s="5"/>
      <c r="C15" s="59"/>
      <c r="D15" s="62" t="s">
        <v>96</v>
      </c>
      <c r="E15" s="322" t="s">
        <v>206</v>
      </c>
      <c r="F15" s="323"/>
      <c r="G15" s="323"/>
      <c r="H15" s="323"/>
      <c r="I15" s="323"/>
      <c r="J15" s="323"/>
      <c r="K15" s="323"/>
      <c r="L15" s="323"/>
      <c r="M15" s="323"/>
      <c r="N15" s="323"/>
      <c r="O15" s="223"/>
      <c r="P15" s="223"/>
      <c r="Q15" s="216"/>
      <c r="R15" s="1"/>
    </row>
    <row r="16" spans="1:18" s="60" customFormat="1">
      <c r="A16" s="58"/>
      <c r="B16" s="5"/>
      <c r="C16" s="59"/>
      <c r="D16" s="61"/>
      <c r="E16" s="9"/>
      <c r="F16" s="63"/>
      <c r="G16" s="63"/>
      <c r="H16" s="63"/>
      <c r="I16" s="63"/>
      <c r="J16" s="63"/>
      <c r="K16" s="63"/>
      <c r="L16" s="63"/>
      <c r="M16" s="63"/>
      <c r="N16" s="63"/>
      <c r="O16" s="63"/>
      <c r="P16" s="63"/>
      <c r="Q16" s="63"/>
      <c r="R16" s="1"/>
    </row>
    <row r="17" spans="1:18" s="60" customFormat="1">
      <c r="A17" s="58"/>
      <c r="B17" s="5"/>
      <c r="C17" s="59"/>
      <c r="D17" s="61"/>
      <c r="E17" s="64" t="s">
        <v>95</v>
      </c>
      <c r="F17" s="59"/>
      <c r="G17" s="59"/>
      <c r="H17" s="337" t="s">
        <v>94</v>
      </c>
      <c r="I17" s="337"/>
      <c r="J17" s="337"/>
      <c r="K17" s="337"/>
      <c r="L17" s="337"/>
      <c r="M17" s="337"/>
      <c r="N17" s="337"/>
      <c r="O17" s="337"/>
      <c r="P17" s="337"/>
      <c r="Q17" s="337"/>
      <c r="R17" s="20"/>
    </row>
    <row r="18" spans="1:18" s="60" customFormat="1" ht="20.25" customHeight="1">
      <c r="A18" s="58"/>
      <c r="B18" s="5"/>
      <c r="C18" s="59"/>
      <c r="D18" s="61"/>
      <c r="E18" s="65"/>
      <c r="F18" s="66"/>
      <c r="G18" s="63"/>
      <c r="H18" s="337"/>
      <c r="I18" s="337"/>
      <c r="J18" s="337"/>
      <c r="K18" s="337"/>
      <c r="L18" s="337"/>
      <c r="M18" s="337"/>
      <c r="N18" s="337"/>
      <c r="O18" s="337"/>
      <c r="P18" s="337"/>
      <c r="Q18" s="337"/>
      <c r="R18" s="20"/>
    </row>
    <row r="19" spans="1:18" s="60" customFormat="1" ht="30" customHeight="1">
      <c r="A19" s="58"/>
      <c r="B19" s="5"/>
      <c r="C19" s="59"/>
      <c r="D19" s="61"/>
      <c r="E19" s="67" t="s">
        <v>93</v>
      </c>
      <c r="F19" s="68">
        <v>15</v>
      </c>
      <c r="G19" s="63"/>
      <c r="H19" s="337"/>
      <c r="I19" s="337"/>
      <c r="J19" s="337"/>
      <c r="K19" s="337"/>
      <c r="L19" s="337"/>
      <c r="M19" s="337"/>
      <c r="N19" s="337"/>
      <c r="O19" s="337"/>
      <c r="P19" s="337"/>
      <c r="Q19" s="337"/>
      <c r="R19" s="20"/>
    </row>
    <row r="20" spans="1:18" s="60" customFormat="1" ht="30" customHeight="1">
      <c r="A20" s="58"/>
      <c r="B20" s="5"/>
      <c r="C20" s="59"/>
      <c r="D20" s="61"/>
      <c r="E20" s="207"/>
      <c r="F20" s="227"/>
      <c r="G20" s="63"/>
      <c r="H20" s="217"/>
      <c r="I20" s="217"/>
      <c r="J20" s="217"/>
      <c r="K20" s="217"/>
      <c r="L20" s="217"/>
      <c r="M20" s="217"/>
      <c r="N20" s="217"/>
      <c r="O20" s="217"/>
      <c r="P20" s="217"/>
      <c r="Q20" s="217"/>
      <c r="R20" s="20"/>
    </row>
    <row r="21" spans="1:18" s="60" customFormat="1">
      <c r="A21" s="58"/>
      <c r="B21" s="5"/>
      <c r="C21" s="59"/>
      <c r="D21" s="82" t="str">
        <f>"Tornado diagram: "&amp;DSA_tornado_select</f>
        <v>Tornado diagram: Total number of staff needed</v>
      </c>
      <c r="E21" s="71"/>
      <c r="F21" s="71"/>
      <c r="G21" s="71"/>
      <c r="H21" s="71"/>
      <c r="I21" s="71"/>
      <c r="J21" s="71"/>
      <c r="K21" s="71"/>
      <c r="L21" s="71"/>
      <c r="M21" s="71"/>
      <c r="N21" s="71"/>
      <c r="O21" s="71"/>
      <c r="R21" s="1"/>
    </row>
    <row r="22" spans="1:18" s="60" customFormat="1" ht="5.45" customHeight="1">
      <c r="A22" s="58"/>
      <c r="B22" s="5"/>
      <c r="C22" s="59"/>
      <c r="D22" s="61"/>
      <c r="E22" s="207"/>
      <c r="F22"/>
      <c r="G22" s="63"/>
      <c r="H22" s="198"/>
      <c r="I22" s="198"/>
      <c r="J22" s="198"/>
      <c r="K22" s="198"/>
      <c r="L22" s="198"/>
      <c r="M22" s="198"/>
      <c r="N22" s="198"/>
      <c r="O22" s="198"/>
      <c r="P22" s="198"/>
      <c r="Q22" s="198"/>
      <c r="R22" s="20"/>
    </row>
    <row r="23" spans="1:18" s="60" customFormat="1" ht="30" customHeight="1">
      <c r="A23" s="58"/>
      <c r="B23" s="5"/>
      <c r="C23" s="59"/>
      <c r="D23" s="61"/>
      <c r="E23" s="207"/>
      <c r="F23"/>
      <c r="G23" s="63"/>
      <c r="H23" s="198"/>
      <c r="I23" s="198"/>
      <c r="J23" s="198"/>
      <c r="K23" s="198"/>
      <c r="L23" s="198"/>
      <c r="M23" s="198"/>
      <c r="N23" s="198"/>
      <c r="O23" s="198"/>
      <c r="P23" s="198"/>
      <c r="Q23" s="198"/>
      <c r="R23" s="20"/>
    </row>
    <row r="24" spans="1:18" s="60" customFormat="1" ht="30" customHeight="1">
      <c r="A24" s="58"/>
      <c r="B24" s="5"/>
      <c r="C24" s="59"/>
      <c r="D24" s="61"/>
      <c r="E24" s="207"/>
      <c r="F24"/>
      <c r="G24" s="63"/>
      <c r="H24" s="198"/>
      <c r="I24" s="198"/>
      <c r="J24" s="198"/>
      <c r="K24" s="198"/>
      <c r="L24" s="198"/>
      <c r="M24" s="198"/>
      <c r="N24" s="198"/>
      <c r="O24" s="198"/>
      <c r="P24" s="198"/>
      <c r="Q24" s="198"/>
      <c r="R24" s="20"/>
    </row>
    <row r="25" spans="1:18" s="60" customFormat="1" ht="30" customHeight="1">
      <c r="A25" s="58"/>
      <c r="B25" s="5"/>
      <c r="C25" s="59"/>
      <c r="D25" s="61"/>
      <c r="E25" s="207"/>
      <c r="F25"/>
      <c r="G25" s="63"/>
      <c r="H25" s="198"/>
      <c r="I25" s="198"/>
      <c r="J25" s="198"/>
      <c r="K25" s="198"/>
      <c r="L25" s="198"/>
      <c r="M25" s="198"/>
      <c r="N25" s="198"/>
      <c r="O25" s="198"/>
      <c r="P25" s="198"/>
      <c r="Q25" s="198"/>
      <c r="R25" s="20"/>
    </row>
    <row r="26" spans="1:18" s="60" customFormat="1" ht="30" customHeight="1">
      <c r="A26" s="58"/>
      <c r="B26" s="5"/>
      <c r="C26" s="59"/>
      <c r="D26" s="61"/>
      <c r="E26" s="207"/>
      <c r="F26"/>
      <c r="G26" s="63"/>
      <c r="H26" s="198"/>
      <c r="I26" s="198"/>
      <c r="J26" s="198"/>
      <c r="K26" s="198"/>
      <c r="L26" s="198"/>
      <c r="M26" s="198"/>
      <c r="N26" s="198"/>
      <c r="O26" s="198"/>
      <c r="P26" s="198"/>
      <c r="Q26" s="198"/>
      <c r="R26" s="20"/>
    </row>
    <row r="27" spans="1:18" s="60" customFormat="1" ht="30" customHeight="1">
      <c r="A27" s="58"/>
      <c r="B27" s="5"/>
      <c r="C27" s="59"/>
      <c r="D27" s="61"/>
      <c r="E27" s="207"/>
      <c r="F27"/>
      <c r="G27" s="63"/>
      <c r="H27" s="198"/>
      <c r="I27" s="198"/>
      <c r="J27" s="198"/>
      <c r="K27" s="198"/>
      <c r="L27" s="198"/>
      <c r="M27" s="198"/>
      <c r="N27" s="198"/>
      <c r="O27" s="198"/>
      <c r="P27" s="198"/>
      <c r="Q27" s="198"/>
      <c r="R27" s="20"/>
    </row>
    <row r="28" spans="1:18" s="60" customFormat="1" ht="30" customHeight="1">
      <c r="A28" s="58"/>
      <c r="B28" s="5"/>
      <c r="C28" s="59"/>
      <c r="D28" s="61"/>
      <c r="E28" s="207"/>
      <c r="F28"/>
      <c r="G28" s="63"/>
      <c r="H28" s="198"/>
      <c r="I28" s="198"/>
      <c r="J28" s="198"/>
      <c r="K28" s="198"/>
      <c r="L28" s="198"/>
      <c r="M28" s="198"/>
      <c r="N28" s="198"/>
      <c r="O28" s="198"/>
      <c r="P28" s="198"/>
      <c r="Q28" s="198"/>
      <c r="R28" s="20"/>
    </row>
    <row r="29" spans="1:18" s="60" customFormat="1">
      <c r="A29" s="58"/>
      <c r="B29" s="5"/>
      <c r="C29" s="59"/>
      <c r="D29" s="61"/>
      <c r="E29" s="63">
        <f>ROUND(tornado_center_orig,1)</f>
        <v>79.3</v>
      </c>
      <c r="F29" s="63"/>
      <c r="G29" s="63"/>
      <c r="H29" s="63"/>
      <c r="I29" s="63"/>
      <c r="J29" s="63"/>
      <c r="K29" s="63"/>
      <c r="L29" s="63"/>
      <c r="M29" s="63"/>
      <c r="N29" s="63"/>
      <c r="O29" s="63"/>
      <c r="P29" s="63"/>
      <c r="Q29" s="63"/>
      <c r="R29" s="1"/>
    </row>
    <row r="30" spans="1:18" s="60" customFormat="1">
      <c r="A30" s="58"/>
      <c r="B30" s="5"/>
      <c r="C30" s="59"/>
      <c r="D30" s="61"/>
      <c r="E30" s="63" t="str">
        <f>"Base-case "&amp;LOWER(DSA_tornado_select)&amp;": "</f>
        <v xml:space="preserve">Base-case total number of staff needed: </v>
      </c>
      <c r="F30" s="63"/>
      <c r="G30" s="63"/>
      <c r="H30" s="63"/>
      <c r="I30" s="63"/>
      <c r="J30" s="63"/>
      <c r="K30" s="63"/>
      <c r="L30" s="63"/>
      <c r="M30" s="63"/>
      <c r="N30" s="63"/>
      <c r="O30" s="63"/>
      <c r="P30" s="63"/>
      <c r="Q30" s="63"/>
      <c r="R30" s="1"/>
    </row>
    <row r="31" spans="1:18" s="60" customFormat="1">
      <c r="A31" s="58"/>
      <c r="B31" s="5"/>
      <c r="C31" s="59"/>
      <c r="D31" s="61"/>
      <c r="E31" s="78"/>
      <c r="F31" s="79" t="s">
        <v>85</v>
      </c>
      <c r="G31" s="63">
        <f>tornado_center_orig</f>
        <v>79.271500000000003</v>
      </c>
      <c r="H31" s="80"/>
      <c r="I31" s="63"/>
      <c r="J31" s="78"/>
      <c r="K31" s="78"/>
      <c r="L31" s="78"/>
      <c r="M31" s="78"/>
      <c r="N31" s="78"/>
      <c r="O31" s="78"/>
      <c r="P31" s="78"/>
      <c r="Q31" s="78"/>
      <c r="R31" s="1"/>
    </row>
    <row r="32" spans="1:18" s="60" customFormat="1">
      <c r="A32" s="58"/>
      <c r="B32" s="5"/>
      <c r="C32" s="59"/>
      <c r="D32" s="61"/>
      <c r="E32" s="63"/>
      <c r="F32" s="63"/>
      <c r="G32" s="63"/>
      <c r="H32" s="63"/>
      <c r="I32" s="63"/>
      <c r="J32" s="63"/>
      <c r="K32" s="63"/>
      <c r="L32" s="63"/>
      <c r="M32" s="63"/>
      <c r="N32" s="63"/>
      <c r="O32" s="63"/>
      <c r="P32" s="63"/>
      <c r="Q32" s="63"/>
      <c r="R32" s="1"/>
    </row>
    <row r="33" spans="1:18" s="60" customFormat="1">
      <c r="A33" s="58"/>
      <c r="B33" s="5"/>
      <c r="C33" s="59"/>
      <c r="D33" s="61"/>
      <c r="E33" s="73"/>
      <c r="F33" s="73"/>
      <c r="G33" s="73"/>
      <c r="H33" s="73"/>
      <c r="I33" s="73"/>
      <c r="J33" s="63"/>
      <c r="K33" s="63"/>
      <c r="L33" s="63"/>
      <c r="M33" s="63"/>
      <c r="N33" s="63"/>
      <c r="O33" s="63"/>
      <c r="P33" s="63"/>
      <c r="Q33" s="63"/>
      <c r="R33" s="1"/>
    </row>
    <row r="34" spans="1:18" s="60" customFormat="1">
      <c r="A34" s="58"/>
      <c r="B34" s="5"/>
      <c r="C34" s="59"/>
      <c r="D34" s="61"/>
      <c r="E34" s="73"/>
      <c r="F34" s="73"/>
      <c r="G34" s="73"/>
      <c r="H34" s="73"/>
      <c r="I34" s="73"/>
      <c r="J34" s="63"/>
      <c r="K34" s="63"/>
      <c r="L34" s="63"/>
      <c r="M34" s="63"/>
      <c r="N34" s="63"/>
      <c r="O34" s="63"/>
      <c r="P34" s="63"/>
      <c r="Q34" s="63"/>
      <c r="R34" s="1"/>
    </row>
    <row r="35" spans="1:18" s="60" customFormat="1">
      <c r="A35" s="58"/>
      <c r="B35" s="5"/>
      <c r="C35" s="59"/>
      <c r="D35" s="61"/>
      <c r="E35" s="73"/>
      <c r="F35" s="73"/>
      <c r="G35" s="73"/>
      <c r="H35" s="73"/>
      <c r="I35" s="73"/>
      <c r="J35" s="63"/>
      <c r="K35" s="63"/>
      <c r="L35" s="63"/>
      <c r="M35" s="63"/>
      <c r="N35" s="63"/>
      <c r="O35" s="63"/>
      <c r="P35" s="63"/>
      <c r="Q35" s="63"/>
      <c r="R35" s="1"/>
    </row>
    <row r="36" spans="1:18" s="60" customFormat="1">
      <c r="A36" s="58"/>
      <c r="B36" s="5"/>
      <c r="C36" s="59"/>
      <c r="D36" s="61"/>
      <c r="E36" s="73"/>
      <c r="F36" s="73"/>
      <c r="G36" s="73"/>
      <c r="H36" s="73"/>
      <c r="I36" s="73"/>
      <c r="J36" s="63"/>
      <c r="K36" s="63"/>
      <c r="L36" s="63"/>
      <c r="M36" s="63"/>
      <c r="N36" s="63"/>
      <c r="O36" s="63"/>
      <c r="P36" s="63"/>
      <c r="Q36" s="63"/>
      <c r="R36" s="1"/>
    </row>
    <row r="37" spans="1:18" s="60" customFormat="1">
      <c r="A37" s="58"/>
      <c r="B37" s="5"/>
      <c r="C37" s="59"/>
      <c r="D37" s="61"/>
      <c r="E37" s="73"/>
      <c r="F37" s="73"/>
      <c r="G37" s="73"/>
      <c r="H37" s="73"/>
      <c r="I37" s="73"/>
      <c r="J37" s="63"/>
      <c r="K37" s="63"/>
      <c r="L37" s="63"/>
      <c r="M37" s="63"/>
      <c r="N37" s="63"/>
      <c r="O37" s="63"/>
      <c r="P37" s="63"/>
      <c r="Q37" s="63"/>
      <c r="R37" s="1"/>
    </row>
    <row r="38" spans="1:18" s="60" customFormat="1">
      <c r="A38" s="58"/>
      <c r="B38" s="5"/>
      <c r="C38" s="59"/>
      <c r="D38" s="61"/>
      <c r="E38" s="73"/>
      <c r="F38" s="73"/>
      <c r="G38" s="73"/>
      <c r="H38" s="73"/>
      <c r="I38" s="73"/>
      <c r="J38" s="63"/>
      <c r="K38" s="63"/>
      <c r="L38" s="63"/>
      <c r="M38" s="63"/>
      <c r="N38" s="63"/>
      <c r="O38" s="63"/>
      <c r="P38" s="63"/>
      <c r="Q38" s="63"/>
      <c r="R38" s="1"/>
    </row>
    <row r="39" spans="1:18" s="60" customFormat="1">
      <c r="A39" s="58"/>
      <c r="B39" s="5"/>
      <c r="C39" s="59"/>
      <c r="D39" s="61"/>
      <c r="E39" s="73"/>
      <c r="F39" s="73"/>
      <c r="G39" s="73"/>
      <c r="H39" s="73"/>
      <c r="I39" s="73"/>
      <c r="J39" s="63"/>
      <c r="K39" s="63"/>
      <c r="L39" s="63"/>
      <c r="M39" s="63"/>
      <c r="N39" s="63"/>
      <c r="O39" s="63"/>
      <c r="P39" s="63"/>
      <c r="Q39" s="63"/>
      <c r="R39" s="1"/>
    </row>
    <row r="40" spans="1:18" s="60" customFormat="1">
      <c r="A40" s="58"/>
      <c r="B40" s="5"/>
      <c r="C40" s="59"/>
      <c r="D40" s="61"/>
      <c r="E40" s="73"/>
      <c r="F40" s="73"/>
      <c r="G40" s="73"/>
      <c r="H40" s="73"/>
      <c r="I40" s="73"/>
      <c r="J40" s="63"/>
      <c r="K40" s="63"/>
      <c r="L40" s="63"/>
      <c r="M40" s="63"/>
      <c r="N40" s="63"/>
      <c r="O40" s="63"/>
      <c r="P40" s="63"/>
      <c r="Q40" s="63"/>
      <c r="R40" s="1"/>
    </row>
    <row r="41" spans="1:18" s="53" customFormat="1" ht="18" collapsed="1">
      <c r="B41" s="308" t="s">
        <v>100</v>
      </c>
      <c r="C41" s="308"/>
      <c r="D41" s="308"/>
      <c r="E41" s="308"/>
      <c r="F41" s="308"/>
      <c r="G41" s="308"/>
      <c r="H41" s="308"/>
      <c r="I41" s="308"/>
      <c r="J41" s="308"/>
      <c r="K41" s="308"/>
      <c r="L41" s="308"/>
      <c r="M41" s="308"/>
      <c r="N41" s="308"/>
      <c r="O41" s="308"/>
      <c r="P41" s="308"/>
      <c r="Q41" s="308"/>
      <c r="R41" s="1"/>
    </row>
    <row r="42" spans="1:18" s="60" customFormat="1">
      <c r="A42" s="58"/>
      <c r="B42" s="5"/>
      <c r="C42" s="59"/>
      <c r="D42" s="61"/>
      <c r="E42" s="63"/>
      <c r="F42" s="63"/>
      <c r="G42" s="63"/>
      <c r="H42" s="63"/>
      <c r="I42" s="63"/>
      <c r="J42" s="63"/>
      <c r="K42" s="63"/>
      <c r="L42" s="63"/>
      <c r="M42" s="63"/>
      <c r="N42" s="63"/>
      <c r="O42" s="63"/>
      <c r="P42" s="63"/>
      <c r="Q42" s="63"/>
      <c r="R42" s="1"/>
    </row>
    <row r="43" spans="1:18" s="60" customFormat="1" ht="21" customHeight="1">
      <c r="A43" s="58"/>
      <c r="B43" s="5"/>
      <c r="C43" s="59"/>
      <c r="D43" s="62" t="s">
        <v>96</v>
      </c>
      <c r="E43" s="322" t="s">
        <v>174</v>
      </c>
      <c r="F43" s="322"/>
      <c r="G43" s="322"/>
      <c r="H43" s="322"/>
      <c r="I43" s="322"/>
      <c r="J43" s="322"/>
      <c r="K43" s="322"/>
      <c r="L43" s="322"/>
      <c r="M43" s="322"/>
      <c r="N43" s="322"/>
      <c r="O43" s="197"/>
      <c r="P43" s="197"/>
      <c r="Q43" s="197"/>
      <c r="R43" s="1"/>
    </row>
    <row r="44" spans="1:18" s="60" customFormat="1" ht="21" customHeight="1">
      <c r="A44" s="58"/>
      <c r="B44" s="5"/>
      <c r="C44" s="59"/>
      <c r="D44" s="62" t="s">
        <v>96</v>
      </c>
      <c r="E44" s="322" t="s">
        <v>171</v>
      </c>
      <c r="F44" s="322"/>
      <c r="G44" s="322"/>
      <c r="H44" s="322"/>
      <c r="I44" s="322"/>
      <c r="J44" s="322"/>
      <c r="K44" s="322"/>
      <c r="L44" s="322"/>
      <c r="M44" s="322"/>
      <c r="N44" s="322"/>
      <c r="O44" s="197"/>
      <c r="P44" s="197"/>
      <c r="Q44" s="197"/>
      <c r="R44" s="1"/>
    </row>
    <row r="45" spans="1:18" s="60" customFormat="1" ht="21" customHeight="1">
      <c r="A45" s="58"/>
      <c r="B45" s="5"/>
      <c r="C45" s="59"/>
      <c r="D45" s="62"/>
      <c r="E45" s="197"/>
      <c r="F45" s="197"/>
      <c r="G45" s="197"/>
      <c r="H45" s="197"/>
      <c r="I45" s="197"/>
      <c r="J45" s="197"/>
      <c r="K45" s="197"/>
      <c r="L45" s="197"/>
      <c r="M45" s="197"/>
      <c r="N45" s="197"/>
      <c r="O45" s="197"/>
      <c r="P45" s="197"/>
      <c r="Q45" s="197"/>
      <c r="R45" s="1"/>
    </row>
    <row r="46" spans="1:18" s="60" customFormat="1" ht="21" customHeight="1">
      <c r="A46" s="58"/>
      <c r="B46" s="5"/>
      <c r="C46" s="59"/>
      <c r="D46" s="62"/>
      <c r="E46" s="64" t="s">
        <v>172</v>
      </c>
      <c r="F46" s="208">
        <f>SAparam</f>
        <v>0.3</v>
      </c>
      <c r="G46" s="344" t="s">
        <v>173</v>
      </c>
      <c r="H46" s="345"/>
      <c r="I46" s="345"/>
      <c r="J46" s="345"/>
      <c r="K46" s="197"/>
      <c r="L46" s="197"/>
      <c r="M46" s="197"/>
      <c r="N46" s="197"/>
      <c r="O46" s="197"/>
      <c r="P46" s="197"/>
      <c r="Q46" s="197"/>
      <c r="R46" s="1"/>
    </row>
    <row r="47" spans="1:18" s="60" customFormat="1" ht="21" thickBot="1">
      <c r="A47" s="58"/>
      <c r="B47" s="5"/>
      <c r="C47" s="59"/>
      <c r="D47" s="61"/>
      <c r="E47" s="197"/>
      <c r="F47" s="197"/>
      <c r="G47" s="197"/>
      <c r="H47" s="197"/>
      <c r="I47" s="197"/>
      <c r="J47" s="197"/>
      <c r="K47" s="197"/>
      <c r="L47" s="197"/>
      <c r="M47" s="197"/>
      <c r="N47" s="197"/>
      <c r="O47" s="197"/>
      <c r="P47" s="197"/>
      <c r="Q47" s="197"/>
      <c r="R47" s="1"/>
    </row>
    <row r="48" spans="1:18" ht="21.6" customHeight="1" thickBot="1">
      <c r="B48" s="5"/>
      <c r="E48" s="346"/>
      <c r="F48" s="347"/>
      <c r="G48" s="350" t="s">
        <v>54</v>
      </c>
      <c r="H48" s="351"/>
      <c r="I48" s="351"/>
      <c r="J48" s="351"/>
      <c r="K48" s="351"/>
      <c r="L48" s="351"/>
      <c r="M48" s="351"/>
      <c r="N48" s="351"/>
      <c r="O48" s="351"/>
      <c r="P48" s="352"/>
      <c r="R48" s="1"/>
    </row>
    <row r="49" spans="1:18" ht="20.45" customHeight="1">
      <c r="B49" s="5"/>
      <c r="E49" s="348" t="s">
        <v>29</v>
      </c>
      <c r="F49" s="349"/>
      <c r="G49" s="353" t="str">
        <f>"Cases reduced by "&amp;SAparam*2*100&amp;"%"</f>
        <v>Cases reduced by 60%</v>
      </c>
      <c r="H49" s="343"/>
      <c r="I49" s="340" t="str">
        <f>"Cases reduced by "&amp;SAparam*100&amp;"%"</f>
        <v>Cases reduced by 30%</v>
      </c>
      <c r="J49" s="341"/>
      <c r="K49" s="340" t="str">
        <f>"Base-case number of cases"</f>
        <v>Base-case number of cases</v>
      </c>
      <c r="L49" s="341"/>
      <c r="M49" s="340" t="str">
        <f>"Cases increased by "&amp;SAparam*100&amp;"%"</f>
        <v>Cases increased by 30%</v>
      </c>
      <c r="N49" s="341"/>
      <c r="O49" s="342" t="str">
        <f>"Cases increased by "&amp;SAparam*2*100&amp;"%"</f>
        <v>Cases increased by 60%</v>
      </c>
      <c r="P49" s="343"/>
      <c r="R49" s="1"/>
    </row>
    <row r="50" spans="1:18" ht="20.45" customHeight="1">
      <c r="B50" s="5"/>
      <c r="E50" s="357" t="s">
        <v>161</v>
      </c>
      <c r="F50" s="358"/>
      <c r="G50" s="354">
        <f>IFERROR(INDEX('Sensitivity Setup'!$D$7:$O$171,MATCH(G49&amp;", "&amp;$E$51,'Sensitivity Setup'!$E$7:$E$171,0),MATCH("Input SA value",'Sensitivity Setup'!$D$7:$O$7,0)),"")</f>
        <v>40</v>
      </c>
      <c r="H50" s="355"/>
      <c r="I50" s="354">
        <f>IFERROR(INDEX('Sensitivity Setup'!$D$7:$O$171,MATCH(I49&amp;", "&amp;$E$51,'Sensitivity Setup'!$E$7:$E$171,0),MATCH("Input SA value",'Sensitivity Setup'!$D$7:$O$7,0)),"")</f>
        <v>70</v>
      </c>
      <c r="J50" s="355"/>
      <c r="K50" s="354">
        <f>IFERROR(INDEX('Sensitivity Setup'!$D$7:$O$171,MATCH(K49&amp;", "&amp;$E$51,'Sensitivity Setup'!$E$7:$E$171,0),MATCH("Input SA value",'Sensitivity Setup'!$D$7:$O$7,0)),"")</f>
        <v>100</v>
      </c>
      <c r="L50" s="355"/>
      <c r="M50" s="354">
        <f>IFERROR(INDEX('Sensitivity Setup'!$D$7:$O$171,MATCH(M49&amp;", "&amp;$E$51,'Sensitivity Setup'!$E$7:$E$171,0),MATCH("Input SA value",'Sensitivity Setup'!$D$7:$O$7,0)),"")</f>
        <v>130</v>
      </c>
      <c r="N50" s="355"/>
      <c r="O50" s="356">
        <f>IFERROR(INDEX('Sensitivity Setup'!$D$7:$O$171,MATCH(O49&amp;", "&amp;$E$51,'Sensitivity Setup'!$E$7:$E$171,0),MATCH("Input SA value",'Sensitivity Setup'!$D$7:$O$7,0)),"")</f>
        <v>160</v>
      </c>
      <c r="P50" s="355"/>
      <c r="R50" s="1"/>
    </row>
    <row r="51" spans="1:18">
      <c r="B51" s="5"/>
      <c r="E51" s="152" t="str">
        <f>"Contacts reduced by "&amp;SAparam*2*100&amp;"%"</f>
        <v>Contacts reduced by 60%</v>
      </c>
      <c r="F51" s="160">
        <f>IFERROR(INDEX('Sensitivity Setup'!$D$7:$O$171,MATCH($G$49&amp;", "&amp;E51,'Sensitivity Setup'!$E$7:$E$171,0)+1,MATCH("Input SA value",'Sensitivity Setup'!$D$7:$O$7,0)),"")</f>
        <v>2</v>
      </c>
      <c r="G51" s="154">
        <f>IFERROR(INDEX('Sensitivity Setup'!$D$7:$O$171,MATCH(G$49&amp;", "&amp;$E51,'Sensitivity Setup'!$E$7:$E$171,0),MATCH($G$58,'Sensitivity Setup'!$D$7:$O$7,0)),"")</f>
        <v>6.8250000000000002</v>
      </c>
      <c r="H51" s="155">
        <f>IFERROR(INDEX('Sensitivity Setup'!$D$7:$O$171,MATCH($G$49&amp;", "&amp;$E51,'Sensitivity Setup'!$E$7:$E$171,0),MATCH($G$59,'Sensitivity Setup'!$D$7:$O$7,0)),"")</f>
        <v>7.0233333333333334</v>
      </c>
      <c r="I51" s="154">
        <f>IFERROR(INDEX('Sensitivity Setup'!$D$7:$O$171,MATCH(I$49&amp;", "&amp;$E51,'Sensitivity Setup'!$E$7:$E$171,0),MATCH($G$58,'Sensitivity Setup'!$D$7:$O$7,0)),"")</f>
        <v>11.94375</v>
      </c>
      <c r="J51" s="155">
        <f>IFERROR(INDEX('Sensitivity Setup'!$D$7:$O$171,MATCH($I$49&amp;", "&amp;$E51,'Sensitivity Setup'!$E$7:$E$171,0),MATCH($G$59,'Sensitivity Setup'!$D$7:$O$7,0)),"")</f>
        <v>12.290833333333333</v>
      </c>
      <c r="K51" s="154">
        <f>IFERROR(INDEX('Sensitivity Setup'!$D$7:$O$171,MATCH(K$49&amp;", "&amp;$E51,'Sensitivity Setup'!$E$7:$E$171,0),MATCH($G$58,'Sensitivity Setup'!$D$7:$O$7,0)),"")</f>
        <v>17.0625</v>
      </c>
      <c r="L51" s="155">
        <f>IFERROR(INDEX('Sensitivity Setup'!$D$7:$O$171,MATCH($K$49&amp;", "&amp;$E51,'Sensitivity Setup'!$E$7:$E$171,0),MATCH($G$59,'Sensitivity Setup'!$D$7:$O$7,0)),"")</f>
        <v>17.55833333333333</v>
      </c>
      <c r="M51" s="154">
        <f>IFERROR(INDEX('Sensitivity Setup'!$D$7:$O$171,MATCH(M$49&amp;", "&amp;$E51,'Sensitivity Setup'!$E$7:$E$171,0),MATCH($G$58,'Sensitivity Setup'!$D$7:$O$7,0)),"")</f>
        <v>22.181249999999999</v>
      </c>
      <c r="N51" s="155">
        <f>IFERROR(INDEX('Sensitivity Setup'!$D$7:$O$171,MATCH($M$49&amp;", "&amp;$E51,'Sensitivity Setup'!$E$7:$E$171,0),MATCH($G$59,'Sensitivity Setup'!$D$7:$O$7,0)),"")</f>
        <v>22.825833333333328</v>
      </c>
      <c r="O51" s="156">
        <f>IFERROR(INDEX('Sensitivity Setup'!$D$7:$O$171,MATCH(O$49&amp;", "&amp;$E51,'Sensitivity Setup'!$E$7:$E$171,0),MATCH($G$58,'Sensitivity Setup'!$D$7:$O$7,0)),"")</f>
        <v>27.3</v>
      </c>
      <c r="P51" s="155">
        <f>IFERROR(INDEX('Sensitivity Setup'!$D$7:$O$171,MATCH($O$49&amp;", "&amp;$E51,'Sensitivity Setup'!$E$7:$E$171,0),MATCH($G$59,'Sensitivity Setup'!$D$7:$O$7,0)),"")</f>
        <v>28.093333333333334</v>
      </c>
      <c r="R51" s="1"/>
    </row>
    <row r="52" spans="1:18">
      <c r="B52" s="5"/>
      <c r="E52" s="152" t="str">
        <f>"Contacts reduced by "&amp;SAparam*100&amp;"%"</f>
        <v>Contacts reduced by 30%</v>
      </c>
      <c r="F52" s="160">
        <f>IFERROR(INDEX('Sensitivity Setup'!$D$7:$O$171,MATCH($G$49&amp;", "&amp;E52,'Sensitivity Setup'!$E$7:$E$171,0)+1,MATCH("Input SA value",'Sensitivity Setup'!$D$7:$O$7,0)),"")</f>
        <v>3.5</v>
      </c>
      <c r="G52" s="154">
        <f>IFERROR(INDEX('Sensitivity Setup'!$D$7:$O$171,MATCH(G$49&amp;", "&amp;$E52,'Sensitivity Setup'!$E$7:$E$171,0),MATCH($G$58,'Sensitivity Setup'!$D$7:$O$7,0)),"")</f>
        <v>6.8250000000000002</v>
      </c>
      <c r="H52" s="155">
        <f>IFERROR(INDEX('Sensitivity Setup'!$D$7:$O$171,MATCH($G$49&amp;", "&amp;$E52,'Sensitivity Setup'!$E$7:$E$171,0),MATCH($G$59,'Sensitivity Setup'!$D$7:$O$7,0)),"")</f>
        <v>12.290833333333333</v>
      </c>
      <c r="I52" s="154">
        <f>IFERROR(INDEX('Sensitivity Setup'!$D$7:$O$171,MATCH(I$49&amp;", "&amp;$E52,'Sensitivity Setup'!$E$7:$E$171,0),MATCH($G$58,'Sensitivity Setup'!$D$7:$O$7,0)),"")</f>
        <v>11.94375</v>
      </c>
      <c r="J52" s="155">
        <f>IFERROR(INDEX('Sensitivity Setup'!$D$7:$O$171,MATCH($I$49&amp;", "&amp;$E52,'Sensitivity Setup'!$E$7:$E$171,0),MATCH($G$59,'Sensitivity Setup'!$D$7:$O$7,0)),"")</f>
        <v>21.508958333333332</v>
      </c>
      <c r="K52" s="154">
        <f>IFERROR(INDEX('Sensitivity Setup'!$D$7:$O$171,MATCH(K$49&amp;", "&amp;$E52,'Sensitivity Setup'!$E$7:$E$171,0),MATCH($G$58,'Sensitivity Setup'!$D$7:$O$7,0)),"")</f>
        <v>17.0625</v>
      </c>
      <c r="L52" s="155">
        <f>IFERROR(INDEX('Sensitivity Setup'!$D$7:$O$171,MATCH($K$49&amp;", "&amp;$E52,'Sensitivity Setup'!$E$7:$E$171,0),MATCH($G$59,'Sensitivity Setup'!$D$7:$O$7,0)),"")</f>
        <v>30.727083333333336</v>
      </c>
      <c r="M52" s="154">
        <f>IFERROR(INDEX('Sensitivity Setup'!$D$7:$O$171,MATCH(M$49&amp;", "&amp;$E52,'Sensitivity Setup'!$E$7:$E$171,0),MATCH($G$58,'Sensitivity Setup'!$D$7:$O$7,0)),"")</f>
        <v>22.181249999999999</v>
      </c>
      <c r="N52" s="155">
        <f>IFERROR(INDEX('Sensitivity Setup'!$D$7:$O$171,MATCH($M$49&amp;", "&amp;$E52,'Sensitivity Setup'!$E$7:$E$171,0),MATCH($G$59,'Sensitivity Setup'!$D$7:$O$7,0)),"")</f>
        <v>39.945208333333333</v>
      </c>
      <c r="O52" s="156">
        <f>IFERROR(INDEX('Sensitivity Setup'!$D$7:$O$171,MATCH(O$49&amp;", "&amp;$E52,'Sensitivity Setup'!$E$7:$E$171,0),MATCH($G$58,'Sensitivity Setup'!$D$7:$O$7,0)),"")</f>
        <v>27.3</v>
      </c>
      <c r="P52" s="155">
        <f>IFERROR(INDEX('Sensitivity Setup'!$D$7:$O$171,MATCH($O$49&amp;", "&amp;$E52,'Sensitivity Setup'!$E$7:$E$171,0),MATCH($G$59,'Sensitivity Setup'!$D$7:$O$7,0)),"")</f>
        <v>49.163333333333334</v>
      </c>
      <c r="R52" s="1"/>
    </row>
    <row r="53" spans="1:18">
      <c r="B53" s="5"/>
      <c r="E53" s="152" t="str">
        <f>"Base-case number of contacts"</f>
        <v>Base-case number of contacts</v>
      </c>
      <c r="F53" s="160">
        <f>IFERROR(INDEX('Sensitivity Setup'!$D$7:$O$171,MATCH($G$49&amp;", "&amp;E53,'Sensitivity Setup'!$E$7:$E$171,0)+1,MATCH("Input SA value",'Sensitivity Setup'!$D$7:$O$7,0)),"")</f>
        <v>5</v>
      </c>
      <c r="G53" s="154">
        <f>IFERROR(INDEX('Sensitivity Setup'!$D$7:$O$171,MATCH(G$49&amp;", "&amp;$E53,'Sensitivity Setup'!$E$7:$E$171,0),MATCH($G$58,'Sensitivity Setup'!$D$7:$O$7,0)),"")</f>
        <v>6.8250000000000002</v>
      </c>
      <c r="H53" s="155">
        <f>IFERROR(INDEX('Sensitivity Setup'!$D$7:$O$171,MATCH($G$49&amp;", "&amp;$E53,'Sensitivity Setup'!$E$7:$E$171,0),MATCH($G$59,'Sensitivity Setup'!$D$7:$O$7,0)),"")</f>
        <v>17.55833333333333</v>
      </c>
      <c r="I53" s="154">
        <f>IFERROR(INDEX('Sensitivity Setup'!$D$7:$O$171,MATCH(I$49&amp;", "&amp;$E53,'Sensitivity Setup'!$E$7:$E$171,0),MATCH($G$58,'Sensitivity Setup'!$D$7:$O$7,0)),"")</f>
        <v>11.94375</v>
      </c>
      <c r="J53" s="155">
        <f>IFERROR(INDEX('Sensitivity Setup'!$D$7:$O$171,MATCH($I$49&amp;", "&amp;$E53,'Sensitivity Setup'!$E$7:$E$171,0),MATCH($G$59,'Sensitivity Setup'!$D$7:$O$7,0)),"")</f>
        <v>30.727083333333336</v>
      </c>
      <c r="K53" s="154">
        <f>IFERROR(INDEX('Sensitivity Setup'!$D$7:$O$171,MATCH(K$49&amp;", "&amp;$E53,'Sensitivity Setup'!$E$7:$E$171,0),MATCH($G$58,'Sensitivity Setup'!$D$7:$O$7,0)),"")</f>
        <v>17.0625</v>
      </c>
      <c r="L53" s="155">
        <f>IFERROR(INDEX('Sensitivity Setup'!$D$7:$O$171,MATCH($K$49&amp;", "&amp;$E53,'Sensitivity Setup'!$E$7:$E$171,0),MATCH($G$59,'Sensitivity Setup'!$D$7:$O$7,0)),"")</f>
        <v>43.895833333333336</v>
      </c>
      <c r="M53" s="154">
        <f>IFERROR(INDEX('Sensitivity Setup'!$D$7:$O$171,MATCH(M$49&amp;", "&amp;$E53,'Sensitivity Setup'!$E$7:$E$171,0),MATCH($G$58,'Sensitivity Setup'!$D$7:$O$7,0)),"")</f>
        <v>22.181249999999999</v>
      </c>
      <c r="N53" s="155">
        <f>IFERROR(INDEX('Sensitivity Setup'!$D$7:$O$171,MATCH($M$49&amp;", "&amp;$E53,'Sensitivity Setup'!$E$7:$E$171,0),MATCH($G$59,'Sensitivity Setup'!$D$7:$O$7,0)),"")</f>
        <v>57.064583333333324</v>
      </c>
      <c r="O53" s="156">
        <f>IFERROR(INDEX('Sensitivity Setup'!$D$7:$O$171,MATCH(O$49&amp;", "&amp;$E53,'Sensitivity Setup'!$E$7:$E$171,0),MATCH($G$58,'Sensitivity Setup'!$D$7:$O$7,0)),"")</f>
        <v>27.3</v>
      </c>
      <c r="P53" s="155">
        <f>IFERROR(INDEX('Sensitivity Setup'!$D$7:$O$171,MATCH($O$49&amp;", "&amp;$E53,'Sensitivity Setup'!$E$7:$E$171,0),MATCH($G$59,'Sensitivity Setup'!$D$7:$O$7,0)),"")</f>
        <v>70.23333333333332</v>
      </c>
      <c r="R53" s="1"/>
    </row>
    <row r="54" spans="1:18">
      <c r="B54" s="5"/>
      <c r="E54" s="152" t="str">
        <f>"Contacts increased by "&amp;SAparam*100&amp;"%"</f>
        <v>Contacts increased by 30%</v>
      </c>
      <c r="F54" s="160">
        <f>IFERROR(INDEX('Sensitivity Setup'!$D$7:$O$171,MATCH($G$49&amp;", "&amp;E54,'Sensitivity Setup'!$E$7:$E$171,0)+1,MATCH("Input SA value",'Sensitivity Setup'!$D$7:$O$7,0)),"")</f>
        <v>6.5</v>
      </c>
      <c r="G54" s="154">
        <f>IFERROR(INDEX('Sensitivity Setup'!$D$7:$O$171,MATCH(G$49&amp;", "&amp;$E54,'Sensitivity Setup'!$E$7:$E$171,0),MATCH($G$58,'Sensitivity Setup'!$D$7:$O$7,0)),"")</f>
        <v>6.8250000000000002</v>
      </c>
      <c r="H54" s="155">
        <f>IFERROR(INDEX('Sensitivity Setup'!$D$7:$O$171,MATCH($G$49&amp;", "&amp;$E54,'Sensitivity Setup'!$E$7:$E$171,0),MATCH($G$59,'Sensitivity Setup'!$D$7:$O$7,0)),"")</f>
        <v>22.825833333333328</v>
      </c>
      <c r="I54" s="154">
        <f>IFERROR(INDEX('Sensitivity Setup'!$D$7:$O$171,MATCH(I$49&amp;", "&amp;$E54,'Sensitivity Setup'!$E$7:$E$171,0),MATCH($G$58,'Sensitivity Setup'!$D$7:$O$7,0)),"")</f>
        <v>11.94375</v>
      </c>
      <c r="J54" s="155">
        <f>IFERROR(INDEX('Sensitivity Setup'!$D$7:$O$171,MATCH($I$49&amp;", "&amp;$E54,'Sensitivity Setup'!$E$7:$E$171,0),MATCH($G$59,'Sensitivity Setup'!$D$7:$O$7,0)),"")</f>
        <v>39.945208333333333</v>
      </c>
      <c r="K54" s="154">
        <f>IFERROR(INDEX('Sensitivity Setup'!$D$7:$O$171,MATCH(K$49&amp;", "&amp;$E54,'Sensitivity Setup'!$E$7:$E$171,0),MATCH($G$58,'Sensitivity Setup'!$D$7:$O$7,0)),"")</f>
        <v>17.0625</v>
      </c>
      <c r="L54" s="155">
        <f>IFERROR(INDEX('Sensitivity Setup'!$D$7:$O$171,MATCH($K$49&amp;", "&amp;$E54,'Sensitivity Setup'!$E$7:$E$171,0),MATCH($G$59,'Sensitivity Setup'!$D$7:$O$7,0)),"")</f>
        <v>57.064583333333324</v>
      </c>
      <c r="M54" s="154">
        <f>IFERROR(INDEX('Sensitivity Setup'!$D$7:$O$171,MATCH(M$49&amp;", "&amp;$E54,'Sensitivity Setup'!$E$7:$E$171,0),MATCH($G$58,'Sensitivity Setup'!$D$7:$O$7,0)),"")</f>
        <v>22.181249999999999</v>
      </c>
      <c r="N54" s="155">
        <f>IFERROR(INDEX('Sensitivity Setup'!$D$7:$O$171,MATCH($M$49&amp;", "&amp;$E54,'Sensitivity Setup'!$E$7:$E$171,0),MATCH($G$59,'Sensitivity Setup'!$D$7:$O$7,0)),"")</f>
        <v>74.183958333333337</v>
      </c>
      <c r="O54" s="156">
        <f>IFERROR(INDEX('Sensitivity Setup'!$D$7:$O$171,MATCH(O$49&amp;", "&amp;$E54,'Sensitivity Setup'!$E$7:$E$171,0),MATCH($G$58,'Sensitivity Setup'!$D$7:$O$7,0)),"")</f>
        <v>27.3</v>
      </c>
      <c r="P54" s="155">
        <f>IFERROR(INDEX('Sensitivity Setup'!$D$7:$O$171,MATCH($O$49&amp;", "&amp;$E54,'Sensitivity Setup'!$E$7:$E$171,0),MATCH($G$59,'Sensitivity Setup'!$D$7:$O$7,0)),"")</f>
        <v>91.303333333333313</v>
      </c>
      <c r="R54" s="1"/>
    </row>
    <row r="55" spans="1:18" ht="21" thickBot="1">
      <c r="B55" s="5"/>
      <c r="E55" s="153" t="str">
        <f>"Contacts increased by "&amp;SAparam*2*100&amp;"%"</f>
        <v>Contacts increased by 60%</v>
      </c>
      <c r="F55" s="161">
        <f>IFERROR(INDEX('Sensitivity Setup'!$D$7:$O$171,MATCH($G$49&amp;", "&amp;E55,'Sensitivity Setup'!$E$7:$E$171,0)+1,MATCH("Input SA value",'Sensitivity Setup'!$D$7:$O$7,0)),"")</f>
        <v>8</v>
      </c>
      <c r="G55" s="157">
        <f>IFERROR(INDEX('Sensitivity Setup'!$D$7:$O$171,MATCH(G$49&amp;", "&amp;$E55,'Sensitivity Setup'!$E$7:$E$171,0),MATCH($G$58,'Sensitivity Setup'!$D$7:$O$7,0)),"")</f>
        <v>6.8250000000000002</v>
      </c>
      <c r="H55" s="158">
        <f>IFERROR(INDEX('Sensitivity Setup'!$D$7:$O$171,MATCH($G$49&amp;", "&amp;$E55,'Sensitivity Setup'!$E$7:$E$171,0),MATCH($G$59,'Sensitivity Setup'!$D$7:$O$7,0)),"")</f>
        <v>28.093333333333334</v>
      </c>
      <c r="I55" s="157">
        <f>IFERROR(INDEX('Sensitivity Setup'!$D$7:$O$171,MATCH(I$49&amp;", "&amp;$E55,'Sensitivity Setup'!$E$7:$E$171,0),MATCH($G$58,'Sensitivity Setup'!$D$7:$O$7,0)),"")</f>
        <v>11.94375</v>
      </c>
      <c r="J55" s="158">
        <f>IFERROR(INDEX('Sensitivity Setup'!$D$7:$O$171,MATCH($I$49&amp;", "&amp;$E55,'Sensitivity Setup'!$E$7:$E$171,0),MATCH($G$59,'Sensitivity Setup'!$D$7:$O$7,0)),"")</f>
        <v>49.163333333333334</v>
      </c>
      <c r="K55" s="157">
        <f>IFERROR(INDEX('Sensitivity Setup'!$D$7:$O$171,MATCH(K$49&amp;", "&amp;$E55,'Sensitivity Setup'!$E$7:$E$171,0),MATCH($G$58,'Sensitivity Setup'!$D$7:$O$7,0)),"")</f>
        <v>17.0625</v>
      </c>
      <c r="L55" s="158">
        <f>IFERROR(INDEX('Sensitivity Setup'!$D$7:$O$171,MATCH($K$49&amp;", "&amp;$E55,'Sensitivity Setup'!$E$7:$E$171,0),MATCH($G$59,'Sensitivity Setup'!$D$7:$O$7,0)),"")</f>
        <v>70.23333333333332</v>
      </c>
      <c r="M55" s="157">
        <f>IFERROR(INDEX('Sensitivity Setup'!$D$7:$O$171,MATCH(M$49&amp;", "&amp;$E55,'Sensitivity Setup'!$E$7:$E$171,0),MATCH($G$58,'Sensitivity Setup'!$D$7:$O$7,0)),"")</f>
        <v>22.181249999999999</v>
      </c>
      <c r="N55" s="158">
        <f>IFERROR(INDEX('Sensitivity Setup'!$D$7:$O$171,MATCH($M$49&amp;", "&amp;$E55,'Sensitivity Setup'!$E$7:$E$171,0),MATCH($G$59,'Sensitivity Setup'!$D$7:$O$7,0)),"")</f>
        <v>91.303333333333313</v>
      </c>
      <c r="O55" s="159">
        <f>IFERROR(INDEX('Sensitivity Setup'!$D$7:$O$171,MATCH(O$49&amp;", "&amp;$E55,'Sensitivity Setup'!$E$7:$E$171,0),MATCH($G$58,'Sensitivity Setup'!$D$7:$O$7,0)),"")</f>
        <v>27.3</v>
      </c>
      <c r="P55" s="158">
        <f>IFERROR(INDEX('Sensitivity Setup'!$D$7:$O$171,MATCH($O$49&amp;", "&amp;$E55,'Sensitivity Setup'!$E$7:$E$171,0),MATCH($G$59,'Sensitivity Setup'!$D$7:$O$7,0)),"")</f>
        <v>112.37333333333333</v>
      </c>
      <c r="R55" s="1"/>
    </row>
    <row r="56" spans="1:18">
      <c r="B56" s="5"/>
      <c r="E56" s="151" t="str">
        <f>"Note: The model estimates that, in addition to the expected staff above, "&amp;input_rc_prop*100&amp;"% of cases will require resource coordinators and every "&amp;input_n_per_manager&amp;" staff members will require a supervisor."</f>
        <v>Note: The model estimates that, in addition to the expected staff above, 9% of cases will require resource coordinators and every 10 staff members will require a supervisor.</v>
      </c>
      <c r="F56" s="9"/>
      <c r="G56" s="9"/>
      <c r="H56" s="9"/>
      <c r="I56" s="9"/>
      <c r="J56" s="9"/>
      <c r="K56" s="9"/>
      <c r="L56" s="9"/>
      <c r="M56" s="9"/>
      <c r="N56" s="9"/>
      <c r="O56" s="9"/>
      <c r="P56" s="9"/>
      <c r="R56" s="1"/>
    </row>
    <row r="57" spans="1:18">
      <c r="B57" s="5"/>
      <c r="E57" s="9"/>
      <c r="F57" s="9"/>
      <c r="G57" s="9"/>
      <c r="H57" s="9"/>
      <c r="I57" s="9"/>
      <c r="J57" s="9"/>
      <c r="K57" s="9"/>
      <c r="L57" s="9"/>
      <c r="M57" s="9"/>
      <c r="N57" s="9"/>
      <c r="O57" s="9"/>
      <c r="P57" s="9"/>
      <c r="R57" s="1"/>
    </row>
    <row r="58" spans="1:18">
      <c r="B58" s="5"/>
      <c r="E58" s="9"/>
      <c r="F58" s="147"/>
      <c r="G58" s="148" t="s">
        <v>90</v>
      </c>
      <c r="H58" s="9"/>
      <c r="I58" s="9"/>
      <c r="J58" s="9"/>
      <c r="K58" s="9"/>
      <c r="L58" s="9"/>
      <c r="M58" s="9"/>
      <c r="N58" s="9"/>
      <c r="O58" s="9"/>
      <c r="P58" s="9"/>
      <c r="R58" s="1"/>
    </row>
    <row r="59" spans="1:18">
      <c r="B59" s="5"/>
      <c r="E59" s="9"/>
      <c r="F59" s="81"/>
      <c r="G59" s="148" t="s">
        <v>98</v>
      </c>
      <c r="H59" s="9"/>
      <c r="I59" s="9"/>
      <c r="J59" s="9"/>
      <c r="K59" s="9"/>
      <c r="L59" s="9"/>
      <c r="M59" s="9"/>
      <c r="N59" s="9"/>
      <c r="O59" s="9"/>
      <c r="P59" s="9"/>
      <c r="R59" s="1"/>
    </row>
    <row r="60" spans="1:18">
      <c r="B60" s="5"/>
      <c r="D60" s="241"/>
      <c r="E60" s="242"/>
      <c r="F60" s="243"/>
      <c r="G60" s="244"/>
      <c r="H60" s="242"/>
      <c r="I60" s="242"/>
      <c r="J60" s="242"/>
      <c r="K60" s="242"/>
      <c r="L60" s="242"/>
      <c r="M60" s="242"/>
      <c r="N60" s="242"/>
      <c r="O60" s="242"/>
      <c r="P60" s="242"/>
      <c r="Q60" s="241"/>
      <c r="R60" s="1"/>
    </row>
    <row r="61" spans="1:18" s="60" customFormat="1">
      <c r="A61" s="58"/>
      <c r="B61" s="5"/>
      <c r="C61" s="59"/>
      <c r="D61" s="82" t="s">
        <v>222</v>
      </c>
      <c r="E61" s="71"/>
      <c r="F61" s="71"/>
      <c r="G61" s="71"/>
      <c r="H61" s="71"/>
      <c r="I61" s="71"/>
      <c r="J61" s="71"/>
      <c r="K61" s="71"/>
      <c r="L61" s="71"/>
      <c r="M61" s="71"/>
      <c r="N61" s="71"/>
      <c r="O61" s="71"/>
      <c r="R61" s="1"/>
    </row>
    <row r="62" spans="1:18">
      <c r="B62" s="5"/>
      <c r="D62" s="241"/>
      <c r="E62" s="242"/>
      <c r="F62" s="243"/>
      <c r="G62" s="244"/>
      <c r="H62" s="242"/>
      <c r="I62" s="242"/>
      <c r="J62" s="242"/>
      <c r="K62" s="242"/>
      <c r="L62" s="242"/>
      <c r="M62" s="242"/>
      <c r="N62" s="242"/>
      <c r="O62" s="242"/>
      <c r="P62" s="242"/>
      <c r="Q62" s="241"/>
      <c r="R62" s="1"/>
    </row>
    <row r="63" spans="1:18" s="255" customFormat="1" ht="12.75">
      <c r="A63" s="247"/>
      <c r="B63" s="248"/>
      <c r="C63" s="249"/>
      <c r="D63" s="250"/>
      <c r="E63" s="251" t="str">
        <f>"Staff needed if "&amp;LOWER(G49)&amp;", by number of contacts per case"</f>
        <v>Staff needed if cases reduced by 60%, by number of contacts per case</v>
      </c>
      <c r="F63" s="252"/>
      <c r="G63" s="251" t="str">
        <f>"Staff needed if "&amp;LOWER(I49)&amp;", by number of contacts per case"</f>
        <v>Staff needed if cases reduced by 30%, by number of contacts per case</v>
      </c>
      <c r="I63" s="251"/>
      <c r="K63" s="251"/>
      <c r="L63" s="251" t="str">
        <f>"Staff needed if "&amp;LOWER(K49)&amp;", by number of contacts per case"</f>
        <v>Staff needed if base-case number of cases, by number of contacts per case</v>
      </c>
      <c r="M63" s="251"/>
      <c r="N63" s="251"/>
      <c r="O63" s="251"/>
      <c r="P63" s="251"/>
      <c r="Q63" s="250"/>
      <c r="R63" s="254"/>
    </row>
    <row r="64" spans="1:18">
      <c r="B64" s="5"/>
      <c r="D64" s="241"/>
      <c r="E64" s="242"/>
      <c r="F64" s="243"/>
      <c r="G64" s="244"/>
      <c r="H64" s="242"/>
      <c r="I64" s="242"/>
      <c r="J64" s="242"/>
      <c r="K64" s="242"/>
      <c r="L64" s="242"/>
      <c r="M64" s="242"/>
      <c r="N64" s="242"/>
      <c r="O64" s="242"/>
      <c r="P64" s="242"/>
      <c r="Q64" s="241"/>
      <c r="R64" s="1"/>
    </row>
    <row r="65" spans="1:18">
      <c r="B65" s="5"/>
      <c r="D65" s="241"/>
      <c r="E65" s="242"/>
      <c r="F65" s="243"/>
      <c r="G65" s="244"/>
      <c r="H65" s="242"/>
      <c r="I65" s="242"/>
      <c r="J65" s="242"/>
      <c r="K65" s="242"/>
      <c r="L65" s="242"/>
      <c r="M65" s="242"/>
      <c r="N65" s="242"/>
      <c r="O65" s="242"/>
      <c r="P65" s="242"/>
      <c r="Q65" s="241"/>
      <c r="R65" s="1"/>
    </row>
    <row r="66" spans="1:18">
      <c r="B66" s="5"/>
      <c r="D66" s="241"/>
      <c r="E66" s="242"/>
      <c r="F66" s="243"/>
      <c r="G66" s="244"/>
      <c r="H66" s="242"/>
      <c r="I66" s="242"/>
      <c r="J66" s="242"/>
      <c r="K66" s="242"/>
      <c r="L66" s="242"/>
      <c r="M66" s="242"/>
      <c r="N66" s="242"/>
      <c r="O66" s="242"/>
      <c r="P66" s="242"/>
      <c r="Q66" s="241"/>
      <c r="R66" s="1"/>
    </row>
    <row r="67" spans="1:18">
      <c r="B67" s="5"/>
      <c r="D67" s="241"/>
      <c r="E67" s="242"/>
      <c r="F67" s="243"/>
      <c r="G67" s="244"/>
      <c r="H67" s="242"/>
      <c r="I67" s="242"/>
      <c r="J67" s="242"/>
      <c r="K67" s="242"/>
      <c r="L67" s="242"/>
      <c r="M67" s="242"/>
      <c r="N67" s="242"/>
      <c r="O67" s="242"/>
      <c r="P67" s="242"/>
      <c r="Q67" s="241"/>
      <c r="R67" s="1"/>
    </row>
    <row r="68" spans="1:18">
      <c r="B68" s="5"/>
      <c r="D68" s="241"/>
      <c r="E68" s="242"/>
      <c r="F68" s="243"/>
      <c r="G68" s="244"/>
      <c r="H68" s="242"/>
      <c r="I68" s="242"/>
      <c r="J68" s="242"/>
      <c r="K68" s="242"/>
      <c r="L68" s="242"/>
      <c r="M68" s="242"/>
      <c r="N68" s="242"/>
      <c r="O68" s="242"/>
      <c r="P68" s="242"/>
      <c r="Q68" s="241"/>
      <c r="R68" s="1"/>
    </row>
    <row r="69" spans="1:18">
      <c r="B69" s="5"/>
      <c r="D69" s="241"/>
      <c r="E69" s="242"/>
      <c r="F69" s="243"/>
      <c r="G69" s="244"/>
      <c r="H69" s="242"/>
      <c r="I69" s="242"/>
      <c r="J69" s="242"/>
      <c r="K69" s="242"/>
      <c r="L69" s="242"/>
      <c r="M69" s="242"/>
      <c r="N69" s="242"/>
      <c r="O69" s="242"/>
      <c r="P69" s="242"/>
      <c r="Q69" s="241"/>
      <c r="R69" s="1"/>
    </row>
    <row r="70" spans="1:18">
      <c r="B70" s="5"/>
      <c r="D70" s="241"/>
      <c r="E70" s="242"/>
      <c r="F70" s="243"/>
      <c r="G70" s="244"/>
      <c r="H70" s="242"/>
      <c r="I70" s="242"/>
      <c r="J70" s="242"/>
      <c r="K70" s="242"/>
      <c r="L70" s="242"/>
      <c r="M70" s="242"/>
      <c r="N70" s="242"/>
      <c r="O70" s="242"/>
      <c r="P70" s="242"/>
      <c r="Q70" s="241"/>
      <c r="R70" s="1"/>
    </row>
    <row r="71" spans="1:18">
      <c r="B71" s="5"/>
      <c r="D71" s="241"/>
      <c r="E71" s="242"/>
      <c r="F71" s="243"/>
      <c r="G71" s="244"/>
      <c r="H71" s="242"/>
      <c r="I71" s="242"/>
      <c r="J71" s="242"/>
      <c r="K71" s="242"/>
      <c r="L71" s="242"/>
      <c r="M71" s="242"/>
      <c r="N71" s="242"/>
      <c r="O71" s="242"/>
      <c r="P71" s="242"/>
      <c r="Q71" s="241"/>
      <c r="R71" s="1"/>
    </row>
    <row r="72" spans="1:18">
      <c r="B72" s="5"/>
      <c r="D72" s="241"/>
      <c r="E72" s="242"/>
      <c r="F72" s="243"/>
      <c r="G72" s="244"/>
      <c r="H72" s="242"/>
      <c r="I72" s="242"/>
      <c r="J72" s="242"/>
      <c r="K72" s="242"/>
      <c r="L72" s="242"/>
      <c r="M72" s="242"/>
      <c r="N72" s="242"/>
      <c r="O72" s="242"/>
      <c r="P72" s="242"/>
      <c r="Q72" s="241"/>
      <c r="R72" s="1"/>
    </row>
    <row r="73" spans="1:18">
      <c r="B73" s="5"/>
      <c r="D73" s="241"/>
      <c r="E73" s="242"/>
      <c r="F73" s="243"/>
      <c r="G73" s="244"/>
      <c r="H73" s="242"/>
      <c r="I73" s="242"/>
      <c r="J73" s="242"/>
      <c r="K73" s="242"/>
      <c r="L73" s="242"/>
      <c r="M73" s="242"/>
      <c r="N73" s="242"/>
      <c r="O73" s="242"/>
      <c r="P73" s="242"/>
      <c r="Q73" s="241"/>
      <c r="R73" s="1"/>
    </row>
    <row r="74" spans="1:18">
      <c r="B74" s="5"/>
      <c r="D74" s="241"/>
      <c r="E74" s="242"/>
      <c r="F74" s="243"/>
      <c r="G74" s="244"/>
      <c r="H74" s="242"/>
      <c r="I74" s="242"/>
      <c r="J74" s="242"/>
      <c r="K74" s="242"/>
      <c r="L74" s="242"/>
      <c r="M74" s="242"/>
      <c r="N74" s="242"/>
      <c r="O74" s="242"/>
      <c r="P74" s="242"/>
      <c r="Q74" s="241"/>
      <c r="R74" s="1"/>
    </row>
    <row r="75" spans="1:18">
      <c r="B75" s="5"/>
      <c r="D75" s="241"/>
      <c r="E75" s="242"/>
      <c r="F75" s="243"/>
      <c r="G75" s="244"/>
      <c r="H75" s="242"/>
      <c r="I75" s="242"/>
      <c r="J75" s="242"/>
      <c r="K75" s="242"/>
      <c r="L75" s="242"/>
      <c r="M75" s="242"/>
      <c r="N75" s="242"/>
      <c r="O75" s="242"/>
      <c r="P75" s="242"/>
      <c r="Q75" s="241"/>
      <c r="R75" s="1"/>
    </row>
    <row r="76" spans="1:18" s="255" customFormat="1" ht="21" customHeight="1">
      <c r="A76" s="247"/>
      <c r="B76" s="248"/>
      <c r="C76" s="249"/>
      <c r="D76" s="250"/>
      <c r="E76" s="251" t="str">
        <f>"Staff needed if "&amp;LOWER(M49)&amp;", by number of contacts per case"</f>
        <v>Staff needed if cases increased by 30%, by number of contacts per case</v>
      </c>
      <c r="F76" s="252"/>
      <c r="G76" s="253"/>
      <c r="H76" s="256" t="str">
        <f>"Staff needed if "&amp;LOWER(O49)&amp;", by number of contacts per case"</f>
        <v>Staff needed if cases increased by 60%, by number of contacts per case</v>
      </c>
      <c r="I76" s="251"/>
      <c r="J76" s="251"/>
      <c r="K76" s="251"/>
      <c r="L76" s="251"/>
      <c r="M76" s="251"/>
      <c r="N76" s="251"/>
      <c r="O76" s="251"/>
      <c r="P76" s="251"/>
      <c r="Q76" s="250"/>
      <c r="R76" s="254"/>
    </row>
    <row r="77" spans="1:18">
      <c r="B77" s="5"/>
      <c r="D77" s="241"/>
      <c r="E77" s="242"/>
      <c r="F77" s="243"/>
      <c r="G77" s="244"/>
      <c r="H77" s="242"/>
      <c r="I77" s="242"/>
      <c r="J77" s="242"/>
      <c r="K77" s="242"/>
      <c r="L77" s="242"/>
      <c r="M77" s="242"/>
      <c r="N77" s="242"/>
      <c r="O77" s="242"/>
      <c r="P77" s="242"/>
      <c r="Q77" s="241"/>
      <c r="R77" s="1"/>
    </row>
    <row r="78" spans="1:18">
      <c r="B78" s="5"/>
      <c r="D78" s="241"/>
      <c r="E78" s="242"/>
      <c r="F78" s="243"/>
      <c r="G78" s="244"/>
      <c r="H78" s="242"/>
      <c r="I78" s="242"/>
      <c r="J78" s="242"/>
      <c r="K78" s="242"/>
      <c r="L78" s="242"/>
      <c r="M78" s="242"/>
      <c r="N78" s="242"/>
      <c r="O78" s="242"/>
      <c r="P78" s="242"/>
      <c r="Q78" s="241"/>
      <c r="R78" s="1"/>
    </row>
    <row r="79" spans="1:18">
      <c r="B79" s="5"/>
      <c r="D79" s="241"/>
      <c r="E79" s="242"/>
      <c r="F79" s="243"/>
      <c r="G79" s="244"/>
      <c r="H79" s="242"/>
      <c r="I79" s="242"/>
      <c r="J79" s="242"/>
      <c r="K79" s="242"/>
      <c r="L79" s="242"/>
      <c r="M79" s="242"/>
      <c r="N79" s="242"/>
      <c r="O79" s="242"/>
      <c r="P79" s="242"/>
      <c r="Q79" s="241"/>
      <c r="R79" s="1"/>
    </row>
    <row r="80" spans="1:18">
      <c r="B80" s="5"/>
      <c r="D80" s="241"/>
      <c r="E80" s="242"/>
      <c r="F80" s="243"/>
      <c r="G80" s="244"/>
      <c r="H80" s="242"/>
      <c r="I80" s="242"/>
      <c r="J80" s="242"/>
      <c r="K80" s="242"/>
      <c r="L80" s="242"/>
      <c r="M80" s="242"/>
      <c r="N80" s="242"/>
      <c r="O80" s="242"/>
      <c r="P80" s="242"/>
      <c r="Q80" s="241"/>
      <c r="R80" s="1"/>
    </row>
    <row r="81" spans="1:18">
      <c r="B81" s="5"/>
      <c r="D81" s="241"/>
      <c r="E81" s="242"/>
      <c r="F81" s="243"/>
      <c r="G81" s="244"/>
      <c r="H81" s="242"/>
      <c r="I81" s="242"/>
      <c r="J81" s="242"/>
      <c r="K81" s="242"/>
      <c r="L81" s="242"/>
      <c r="M81" s="242"/>
      <c r="N81" s="242"/>
      <c r="O81" s="242"/>
      <c r="P81" s="242"/>
      <c r="Q81" s="241"/>
      <c r="R81" s="1"/>
    </row>
    <row r="82" spans="1:18">
      <c r="B82" s="5"/>
      <c r="D82" s="241"/>
      <c r="E82" s="242"/>
      <c r="F82" s="243"/>
      <c r="G82" s="244"/>
      <c r="H82" s="242"/>
      <c r="I82" s="242"/>
      <c r="J82" s="242"/>
      <c r="K82" s="242"/>
      <c r="L82" s="242"/>
      <c r="M82" s="242"/>
      <c r="N82" s="242"/>
      <c r="O82" s="242"/>
      <c r="P82" s="242"/>
      <c r="Q82" s="241"/>
      <c r="R82" s="1"/>
    </row>
    <row r="83" spans="1:18">
      <c r="B83" s="5"/>
      <c r="D83" s="241"/>
      <c r="E83" s="242"/>
      <c r="F83" s="243"/>
      <c r="G83" s="244"/>
      <c r="H83" s="242"/>
      <c r="I83" s="242"/>
      <c r="J83" s="242"/>
      <c r="K83" s="242"/>
      <c r="L83" s="242"/>
      <c r="M83" s="242"/>
      <c r="N83" s="242"/>
      <c r="O83" s="242"/>
      <c r="P83" s="242"/>
      <c r="Q83" s="241"/>
      <c r="R83" s="1"/>
    </row>
    <row r="84" spans="1:18">
      <c r="B84" s="5"/>
      <c r="D84" s="241"/>
      <c r="E84" s="242"/>
      <c r="F84" s="243"/>
      <c r="G84" s="244"/>
      <c r="H84" s="242"/>
      <c r="I84" s="242"/>
      <c r="J84" s="242"/>
      <c r="K84" s="242"/>
      <c r="L84" s="242"/>
      <c r="M84" s="242"/>
      <c r="N84" s="242"/>
      <c r="O84" s="242"/>
      <c r="P84" s="242"/>
      <c r="Q84" s="241"/>
      <c r="R84" s="1"/>
    </row>
    <row r="85" spans="1:18">
      <c r="B85" s="5"/>
      <c r="D85" s="241"/>
      <c r="E85" s="242"/>
      <c r="F85" s="243"/>
      <c r="G85" s="244"/>
      <c r="H85" s="242"/>
      <c r="I85" s="242"/>
      <c r="J85" s="242"/>
      <c r="K85" s="242"/>
      <c r="L85" s="242"/>
      <c r="M85" s="242"/>
      <c r="N85" s="242"/>
      <c r="O85" s="242"/>
      <c r="P85" s="242"/>
      <c r="Q85" s="241"/>
      <c r="R85" s="1"/>
    </row>
    <row r="86" spans="1:18">
      <c r="B86" s="5"/>
      <c r="D86" s="241"/>
      <c r="E86" s="242"/>
      <c r="F86" s="245"/>
      <c r="G86" s="245"/>
      <c r="H86" s="245"/>
      <c r="I86" s="242"/>
      <c r="J86" s="242"/>
      <c r="K86" s="242"/>
      <c r="L86" s="242"/>
      <c r="M86" s="242"/>
      <c r="N86" s="242"/>
      <c r="O86" s="242"/>
      <c r="P86" s="242"/>
      <c r="Q86" s="241"/>
      <c r="R86" s="1"/>
    </row>
    <row r="87" spans="1:18" s="53" customFormat="1" ht="18" collapsed="1">
      <c r="B87" s="308" t="s">
        <v>101</v>
      </c>
      <c r="C87" s="308"/>
      <c r="D87" s="308"/>
      <c r="E87" s="308"/>
      <c r="F87" s="308"/>
      <c r="G87" s="308"/>
      <c r="H87" s="308"/>
      <c r="I87" s="308"/>
      <c r="J87" s="308"/>
      <c r="K87" s="308"/>
      <c r="L87" s="308"/>
      <c r="M87" s="308"/>
      <c r="N87" s="308"/>
      <c r="O87" s="308"/>
      <c r="P87" s="308"/>
      <c r="Q87" s="308"/>
      <c r="R87" s="1"/>
    </row>
    <row r="88" spans="1:18" s="60" customFormat="1">
      <c r="A88" s="58"/>
      <c r="B88" s="5"/>
      <c r="C88" s="59"/>
      <c r="D88" s="61"/>
      <c r="E88" s="63"/>
      <c r="F88" s="73"/>
      <c r="G88" s="73"/>
      <c r="H88" s="73"/>
      <c r="I88" s="73"/>
      <c r="J88" s="73"/>
      <c r="K88" s="73"/>
      <c r="L88" s="73"/>
      <c r="M88" s="73"/>
      <c r="N88" s="73"/>
      <c r="O88" s="73"/>
      <c r="P88" s="73"/>
      <c r="Q88" s="73"/>
      <c r="R88" s="20"/>
    </row>
    <row r="89" spans="1:18" s="60" customFormat="1" ht="15" customHeight="1">
      <c r="A89" s="58"/>
      <c r="B89" s="5"/>
      <c r="C89" s="59"/>
      <c r="D89" s="61"/>
      <c r="E89" s="338"/>
      <c r="F89" s="339" t="s">
        <v>84</v>
      </c>
      <c r="G89" s="339"/>
      <c r="H89" s="339"/>
      <c r="I89" s="339" t="s">
        <v>152</v>
      </c>
      <c r="J89" s="339"/>
      <c r="K89" s="332" t="s">
        <v>90</v>
      </c>
      <c r="L89" s="333"/>
      <c r="M89" s="332" t="s">
        <v>98</v>
      </c>
      <c r="N89" s="333"/>
      <c r="O89" s="332" t="s">
        <v>99</v>
      </c>
      <c r="P89" s="333"/>
      <c r="R89" s="1"/>
    </row>
    <row r="90" spans="1:18" s="60" customFormat="1">
      <c r="A90" s="58"/>
      <c r="B90" s="5"/>
      <c r="C90" s="59"/>
      <c r="D90" s="61"/>
      <c r="E90" s="338"/>
      <c r="F90" s="339"/>
      <c r="G90" s="339"/>
      <c r="H90" s="339"/>
      <c r="I90" s="339"/>
      <c r="J90" s="339"/>
      <c r="K90" s="334"/>
      <c r="L90" s="335"/>
      <c r="M90" s="334"/>
      <c r="N90" s="335"/>
      <c r="O90" s="334"/>
      <c r="P90" s="335"/>
      <c r="R90" s="1"/>
    </row>
    <row r="91" spans="1:18" s="60" customFormat="1" ht="31.5">
      <c r="A91" s="58"/>
      <c r="B91" s="5"/>
      <c r="C91" s="59"/>
      <c r="D91" s="61"/>
      <c r="E91" s="338"/>
      <c r="F91" s="74" t="s">
        <v>83</v>
      </c>
      <c r="G91" s="74" t="s">
        <v>89</v>
      </c>
      <c r="H91" s="74" t="s">
        <v>88</v>
      </c>
      <c r="I91" s="74" t="s">
        <v>87</v>
      </c>
      <c r="J91" s="74" t="s">
        <v>86</v>
      </c>
      <c r="K91" s="74" t="s">
        <v>87</v>
      </c>
      <c r="L91" s="74" t="s">
        <v>86</v>
      </c>
      <c r="M91" s="74" t="s">
        <v>87</v>
      </c>
      <c r="N91" s="74" t="s">
        <v>86</v>
      </c>
      <c r="O91" s="110" t="s">
        <v>87</v>
      </c>
      <c r="P91" s="110" t="s">
        <v>86</v>
      </c>
      <c r="R91" s="1"/>
    </row>
    <row r="92" spans="1:18" s="60" customFormat="1">
      <c r="A92" s="58"/>
      <c r="B92" s="5"/>
      <c r="C92" s="59"/>
      <c r="D92" s="61"/>
      <c r="E92" s="75" t="s">
        <v>82</v>
      </c>
      <c r="F92" s="336"/>
      <c r="G92" s="336"/>
      <c r="H92" s="336"/>
      <c r="I92" s="143"/>
      <c r="J92" s="143"/>
      <c r="K92" s="143"/>
      <c r="L92" s="143"/>
      <c r="M92" s="55"/>
      <c r="N92" s="55"/>
      <c r="O92" s="55"/>
      <c r="P92" s="55"/>
      <c r="R92" s="1"/>
    </row>
    <row r="93" spans="1:18" s="60" customFormat="1">
      <c r="A93" s="58"/>
      <c r="B93" s="5"/>
      <c r="C93" s="59"/>
      <c r="D93" s="61"/>
      <c r="E93" s="76" t="s">
        <v>32</v>
      </c>
      <c r="F93" s="150"/>
      <c r="G93" s="150"/>
      <c r="H93" s="150"/>
      <c r="I93" s="143"/>
      <c r="J93" s="143"/>
      <c r="K93" s="143"/>
      <c r="L93" s="143"/>
      <c r="M93" s="55"/>
      <c r="N93" s="55"/>
      <c r="O93" s="55"/>
      <c r="P93" s="55"/>
      <c r="R93" s="1"/>
    </row>
    <row r="94" spans="1:18" s="60" customFormat="1">
      <c r="A94" s="58"/>
      <c r="B94" s="5"/>
      <c r="C94" s="59"/>
      <c r="D94" s="61"/>
      <c r="E94" s="77" t="str">
        <f>'Sensitivity Setup'!$E$12</f>
        <v>New cases per day +/- 30%</v>
      </c>
      <c r="F94" s="149">
        <f t="array" ref="F94">IFERROR(INDEX('Sensitivity Setup'!$D$7:$O$171,MATCH($E94&amp;"Low",'Sensitivity Setup'!$E$7:$E$171&amp;'Sensitivity Setup'!$F$7:$F$171,0),MATCH("Base-case (value)",'Sensitivity Setup'!$D$7:$O$7,0)),"")</f>
        <v>100</v>
      </c>
      <c r="G94" s="149">
        <f t="array" ref="G94">IFERROR(INDEX('Sensitivity Setup'!$D$7:$O$171,MATCH($E94&amp;"Low",'Sensitivity Setup'!$E$7:$E$171&amp;'Sensitivity Setup'!$F$7:$F$171,0),MATCH("Input SA value",'Sensitivity Setup'!$D$7:$O$7,0)),"")</f>
        <v>70</v>
      </c>
      <c r="H94" s="149">
        <f t="array" ref="H94">IFERROR(INDEX('Sensitivity Setup'!$D$7:$O$171,MATCH($E94&amp;"High",'Sensitivity Setup'!$E$7:$E$171&amp;'Sensitivity Setup'!$F$7:$F$171,0),MATCH("Input SA value",'Sensitivity Setup'!$D$7:$O$7,0)),"")</f>
        <v>130</v>
      </c>
      <c r="I94" s="139">
        <f t="array" ref="I94">IFERROR(INDEX('Sensitivity Setup'!$D$7:$O$171,MATCH($E94&amp;"Low",'Sensitivity Setup'!$E$7:$E$171&amp;'Sensitivity Setup'!$F$7:$F$171,0),MATCH($I$89,'Sensitivity Setup'!$D$7:$O$7,0)),"")</f>
        <v>55.490050000000004</v>
      </c>
      <c r="J94" s="139">
        <f t="array" ref="J94">IFERROR(INDEX('Sensitivity Setup'!$D$7:$O$171,MATCH($E94&amp;"High",'Sensitivity Setup'!$E$7:$E$171&amp;'Sensitivity Setup'!$F$7:$F$171,0),MATCH($I$89,'Sensitivity Setup'!$D$7:$O$7,0)),"")</f>
        <v>103.05294999999998</v>
      </c>
      <c r="K94" s="139">
        <f t="array" ref="K94">IFERROR(INDEX('Sensitivity Setup'!$D$7:$O$171,MATCH($E94&amp;"Low",'Sensitivity Setup'!$E$7:$E$171&amp;'Sensitivity Setup'!$F$7:$F$171,0),MATCH($K$89,'Sensitivity Setup'!$D$7:$O$7,0)),"")</f>
        <v>11.94375</v>
      </c>
      <c r="L94" s="139">
        <f t="array" ref="L94">IFERROR(INDEX('Sensitivity Setup'!$D$7:$O$171,MATCH($E94&amp;"High",'Sensitivity Setup'!$E$7:$E$171&amp;'Sensitivity Setup'!$F$7:$F$171,0),MATCH($K$89,'Sensitivity Setup'!$D$7:$O$7,0)),"")</f>
        <v>22.181249999999999</v>
      </c>
      <c r="M94" s="139">
        <f t="array" ref="M94">IFERROR(INDEX('Sensitivity Setup'!$D$7:$O$171,MATCH($E94&amp;"Low",'Sensitivity Setup'!$E$7:$E$171&amp;'Sensitivity Setup'!$F$7:$F$171,0),MATCH($M$89,'Sensitivity Setup'!$D$7:$O$7,0)),"")</f>
        <v>30.727083333333336</v>
      </c>
      <c r="N94" s="139">
        <f t="array" ref="N94">IFERROR(INDEX('Sensitivity Setup'!$D$7:$O$171,MATCH($E94&amp;"High",'Sensitivity Setup'!$E$7:$E$171&amp;'Sensitivity Setup'!$F$7:$F$171,0),MATCH($M$89,'Sensitivity Setup'!$D$7:$O$7,0)),"")</f>
        <v>57.064583333333324</v>
      </c>
      <c r="O94" s="144">
        <f t="array" ref="O94">IFERROR(INDEX('Sensitivity Setup'!$D$7:$O$171,MATCH($E94&amp;"Low",'Sensitivity Setup'!$E$7:$E$171&amp;'Sensitivity Setup'!$F$7:$F$171,0),MATCH($O$89,'Sensitivity Setup'!$D$7:$O$7,0)),"")</f>
        <v>5410.8133333333326</v>
      </c>
      <c r="P94" s="144">
        <f t="array" ref="P94">IFERROR(INDEX('Sensitivity Setup'!$D$7:$O$171,MATCH($E94&amp;"High",'Sensitivity Setup'!$E$7:$E$171&amp;'Sensitivity Setup'!$F$7:$F$171,0),MATCH($O$89,'Sensitivity Setup'!$D$7:$O$7,0)),"")</f>
        <v>10048.653333333334</v>
      </c>
      <c r="R94" s="4"/>
    </row>
    <row r="95" spans="1:18" s="60" customFormat="1">
      <c r="A95" s="58"/>
      <c r="B95" s="5"/>
      <c r="C95" s="59"/>
      <c r="D95" s="61"/>
      <c r="E95" s="77" t="str">
        <f>'Sensitivity Setup'!$E$16</f>
        <v>Average number of contacts per case +/- 30%</v>
      </c>
      <c r="F95" s="149">
        <f t="array" ref="F95">IFERROR(INDEX('Sensitivity Setup'!$D$7:$O$171,MATCH($E95&amp;"Low",'Sensitivity Setup'!$E$7:$E$171&amp;'Sensitivity Setup'!$F$7:$F$171,0),MATCH("Base-case (value)",'Sensitivity Setup'!$D$7:$O$7,0)),"")</f>
        <v>5</v>
      </c>
      <c r="G95" s="149">
        <f t="array" ref="G95">IFERROR(INDEX('Sensitivity Setup'!$D$7:$O$171,MATCH($E95&amp;"Low",'Sensitivity Setup'!$E$7:$E$171&amp;'Sensitivity Setup'!$F$7:$F$171,0),MATCH("Input SA value",'Sensitivity Setup'!$D$7:$O$7,0)),"")</f>
        <v>3.5</v>
      </c>
      <c r="H95" s="149">
        <f t="array" ref="H95">IFERROR(INDEX('Sensitivity Setup'!$D$7:$O$171,MATCH($E95&amp;"High",'Sensitivity Setup'!$E$7:$E$171&amp;'Sensitivity Setup'!$F$7:$F$171,0),MATCH("Input SA value",'Sensitivity Setup'!$D$7:$O$7,0)),"")</f>
        <v>6.5</v>
      </c>
      <c r="I95" s="139">
        <f t="array" ref="I95">IFERROR(INDEX('Sensitivity Setup'!$D$7:$O$171,MATCH($E95&amp;"Low",'Sensitivity Setup'!$E$7:$E$171&amp;'Sensitivity Setup'!$F$7:$F$171,0),MATCH($I$89,'Sensitivity Setup'!$D$7:$O$7,0)),"")</f>
        <v>62.090875000000004</v>
      </c>
      <c r="J95" s="139">
        <f t="array" ref="J95">IFERROR(INDEX('Sensitivity Setup'!$D$7:$O$171,MATCH($E95&amp;"High",'Sensitivity Setup'!$E$7:$E$171&amp;'Sensitivity Setup'!$F$7:$F$171,0),MATCH($I$89,'Sensitivity Setup'!$D$7:$O$7,0)),"")</f>
        <v>96.452125000000009</v>
      </c>
      <c r="K95" s="139">
        <f t="array" ref="K95">IFERROR(INDEX('Sensitivity Setup'!$D$7:$O$171,MATCH($E95&amp;"Low",'Sensitivity Setup'!$E$7:$E$171&amp;'Sensitivity Setup'!$F$7:$F$171,0),MATCH($K$89,'Sensitivity Setup'!$D$7:$O$7,0)),"")</f>
        <v>17.0625</v>
      </c>
      <c r="L95" s="139">
        <f t="array" ref="L95">IFERROR(INDEX('Sensitivity Setup'!$D$7:$O$171,MATCH($E95&amp;"High",'Sensitivity Setup'!$E$7:$E$171&amp;'Sensitivity Setup'!$F$7:$F$171,0),MATCH($K$89,'Sensitivity Setup'!$D$7:$O$7,0)),"")</f>
        <v>17.0625</v>
      </c>
      <c r="M95" s="139">
        <f t="array" ref="M95">IFERROR(INDEX('Sensitivity Setup'!$D$7:$O$171,MATCH($E95&amp;"Low",'Sensitivity Setup'!$E$7:$E$171&amp;'Sensitivity Setup'!$F$7:$F$171,0),MATCH($M$89,'Sensitivity Setup'!$D$7:$O$7,0)),"")</f>
        <v>30.727083333333336</v>
      </c>
      <c r="N95" s="139">
        <f t="array" ref="N95">IFERROR(INDEX('Sensitivity Setup'!$D$7:$O$171,MATCH($E95&amp;"High",'Sensitivity Setup'!$E$7:$E$171&amp;'Sensitivity Setup'!$F$7:$F$171,0),MATCH($M$89,'Sensitivity Setup'!$D$7:$O$7,0)),"")</f>
        <v>57.064583333333324</v>
      </c>
      <c r="O95" s="144">
        <f t="array" ref="O95">IFERROR(INDEX('Sensitivity Setup'!$D$7:$O$171,MATCH($E95&amp;"Low",'Sensitivity Setup'!$E$7:$E$171&amp;'Sensitivity Setup'!$F$7:$F$171,0),MATCH($O$89,'Sensitivity Setup'!$D$7:$O$7,0)),"")</f>
        <v>6053.2333333333336</v>
      </c>
      <c r="P95" s="144">
        <f t="array" ref="P95">IFERROR(INDEX('Sensitivity Setup'!$D$7:$O$171,MATCH($E95&amp;"High",'Sensitivity Setup'!$E$7:$E$171&amp;'Sensitivity Setup'!$F$7:$F$171,0),MATCH($O$89,'Sensitivity Setup'!$D$7:$O$7,0)),"")</f>
        <v>9406.2333333333336</v>
      </c>
      <c r="R95" s="1"/>
    </row>
    <row r="96" spans="1:18" s="60" customFormat="1">
      <c r="A96" s="58"/>
      <c r="B96" s="5"/>
      <c r="C96" s="59"/>
      <c r="D96" s="61"/>
      <c r="E96" s="76" t="s">
        <v>79</v>
      </c>
      <c r="F96" s="140" t="str">
        <f t="array" ref="F96">IFERROR(INDEX('Sensitivity Setup'!$D$7:$O$171,MATCH($E96&amp;"Low",'Sensitivity Setup'!$E$7:$E$171&amp;'Sensitivity Setup'!$F$7:$F$171,0),MATCH("Base-case (value)",'Sensitivity Setup'!$D$7:$O$7,0)),"")</f>
        <v/>
      </c>
      <c r="G96" s="140" t="str">
        <f t="array" ref="G96">IFERROR(INDEX('Sensitivity Setup'!$D$7:$O$171,MATCH($E96&amp;"Low",'Sensitivity Setup'!$E$7:$E$171&amp;'Sensitivity Setup'!$F$7:$F$171,0),MATCH("Input SA value",'Sensitivity Setup'!$D$7:$O$7,0)),"")</f>
        <v/>
      </c>
      <c r="H96" s="140" t="str">
        <f t="array" ref="H96">IFERROR(INDEX('Sensitivity Setup'!$D$7:$O$171,MATCH($E96&amp;"High",'Sensitivity Setup'!$E$7:$E$171&amp;'Sensitivity Setup'!$F$7:$F$171,0),MATCH("Input SA value",'Sensitivity Setup'!$D$7:$O$7,0)),"")</f>
        <v/>
      </c>
      <c r="I96" s="140" t="str">
        <f t="array" ref="I96">IFERROR(INDEX('Sensitivity Setup'!$D$7:$O$171,MATCH($E96&amp;"Low",'Sensitivity Setup'!$E$7:$E$171&amp;'Sensitivity Setup'!$F$7:$F$171,0),MATCH($I$89,'Sensitivity Setup'!$D$7:$O$7,0)),"")</f>
        <v/>
      </c>
      <c r="J96" s="140" t="str">
        <f t="array" ref="J96">IFERROR(INDEX('Sensitivity Setup'!$D$7:$O$171,MATCH($E96&amp;"High",'Sensitivity Setup'!$E$7:$E$171&amp;'Sensitivity Setup'!$F$7:$F$171,0),MATCH($I$89,'Sensitivity Setup'!$D$7:$O$7,0)),"")</f>
        <v/>
      </c>
      <c r="K96" s="140" t="str">
        <f t="array" ref="K96">IFERROR(INDEX('Sensitivity Setup'!$D$7:$O$171,MATCH($E96&amp;"Low",'Sensitivity Setup'!$E$7:$E$171&amp;'Sensitivity Setup'!$F$7:$F$171,0),MATCH($K$89,'Sensitivity Setup'!$D$7:$O$7,0)),"")</f>
        <v/>
      </c>
      <c r="L96" s="140" t="str">
        <f t="array" ref="L96">IFERROR(INDEX('Sensitivity Setup'!$D$7:$O$171,MATCH($E96&amp;"High",'Sensitivity Setup'!$E$7:$E$171&amp;'Sensitivity Setup'!$F$7:$F$171,0),MATCH($K$89,'Sensitivity Setup'!$D$7:$O$7,0)),"")</f>
        <v/>
      </c>
      <c r="M96" s="140" t="str">
        <f t="array" ref="M96">IFERROR(INDEX('Sensitivity Setup'!$D$7:$O$171,MATCH($E96&amp;"Low",'Sensitivity Setup'!$E$7:$E$171&amp;'Sensitivity Setup'!$F$7:$F$171,0),MATCH($M$89,'Sensitivity Setup'!$D$7:$O$7,0)),"")</f>
        <v/>
      </c>
      <c r="N96" s="140" t="str">
        <f t="array" ref="N96">IFERROR(INDEX('Sensitivity Setup'!$D$7:$O$171,MATCH($E96&amp;"High",'Sensitivity Setup'!$E$7:$E$171&amp;'Sensitivity Setup'!$F$7:$F$171,0),MATCH($M$89,'Sensitivity Setup'!$D$7:$O$7,0)),"")</f>
        <v/>
      </c>
      <c r="O96" s="145" t="str">
        <f t="array" ref="O96">IFERROR(INDEX('Sensitivity Setup'!$D$7:$O$171,MATCH($E96&amp;"Low",'Sensitivity Setup'!$E$7:$E$171&amp;'Sensitivity Setup'!$F$7:$F$171,0),MATCH($O$89,'Sensitivity Setup'!$D$7:$O$7,0)),"")</f>
        <v/>
      </c>
      <c r="P96" s="145" t="str">
        <f t="array" ref="P96">IFERROR(INDEX('Sensitivity Setup'!$D$7:$O$171,MATCH($E96&amp;"High",'Sensitivity Setup'!$E$7:$E$171&amp;'Sensitivity Setup'!$F$7:$F$171,0),MATCH($O$89,'Sensitivity Setup'!$D$7:$O$7,0)),"")</f>
        <v/>
      </c>
      <c r="R96" s="1"/>
    </row>
    <row r="97" spans="1:18" s="60" customFormat="1">
      <c r="A97" s="58"/>
      <c r="B97" s="5"/>
      <c r="C97" s="59"/>
      <c r="D97" s="61"/>
      <c r="E97" s="137" t="str">
        <f>'Sensitivity Setup'!$E$20</f>
        <v>Proportion of cases reached +/- 30%</v>
      </c>
      <c r="F97" s="149">
        <f t="array" ref="F97">IFERROR(INDEX('Sensitivity Setup'!$D$7:$O$171,MATCH($E97&amp;"Low",'Sensitivity Setup'!$E$7:$E$171&amp;'Sensitivity Setup'!$F$7:$F$171,0),MATCH("Base-case (value)",'Sensitivity Setup'!$D$7:$O$7,0)),"")</f>
        <v>0.7</v>
      </c>
      <c r="G97" s="149">
        <f t="array" ref="G97">IFERROR(INDEX('Sensitivity Setup'!$D$7:$O$171,MATCH($E97&amp;"Low",'Sensitivity Setup'!$E$7:$E$171&amp;'Sensitivity Setup'!$F$7:$F$171,0),MATCH("Input SA value",'Sensitivity Setup'!$D$7:$O$7,0)),"")</f>
        <v>0.49</v>
      </c>
      <c r="H97" s="149">
        <f t="array" ref="H97">IFERROR(INDEX('Sensitivity Setup'!$D$7:$O$171,MATCH($E97&amp;"High",'Sensitivity Setup'!$E$7:$E$171&amp;'Sensitivity Setup'!$F$7:$F$171,0),MATCH("Input SA value",'Sensitivity Setup'!$D$7:$O$7,0)),"")</f>
        <v>0.90999999999999992</v>
      </c>
      <c r="I97" s="139">
        <f t="array" ref="I97">IFERROR(INDEX('Sensitivity Setup'!$D$7:$O$171,MATCH($E97&amp;"Low",'Sensitivity Setup'!$E$7:$E$171&amp;'Sensitivity Setup'!$F$7:$F$171,0),MATCH($I$89,'Sensitivity Setup'!$D$7:$O$7,0)),"")</f>
        <v>57.415050000000001</v>
      </c>
      <c r="J97" s="139">
        <f t="array" ref="J97">IFERROR(INDEX('Sensitivity Setup'!$D$7:$O$171,MATCH($E97&amp;"High",'Sensitivity Setup'!$E$7:$E$171&amp;'Sensitivity Setup'!$F$7:$F$171,0),MATCH($I$89,'Sensitivity Setup'!$D$7:$O$7,0)),"")</f>
        <v>101.12794999999998</v>
      </c>
      <c r="K97" s="139">
        <f t="array" ref="K97">IFERROR(INDEX('Sensitivity Setup'!$D$7:$O$171,MATCH($E97&amp;"Low",'Sensitivity Setup'!$E$7:$E$171&amp;'Sensitivity Setup'!$F$7:$F$171,0),MATCH($K$89,'Sensitivity Setup'!$D$7:$O$7,0)),"")</f>
        <v>13.69375</v>
      </c>
      <c r="L97" s="139">
        <f t="array" ref="L97">IFERROR(INDEX('Sensitivity Setup'!$D$7:$O$171,MATCH($E97&amp;"High",'Sensitivity Setup'!$E$7:$E$171&amp;'Sensitivity Setup'!$F$7:$F$171,0),MATCH($K$89,'Sensitivity Setup'!$D$7:$O$7,0)),"")</f>
        <v>20.431249999999999</v>
      </c>
      <c r="M97" s="139">
        <f t="array" ref="M97">IFERROR(INDEX('Sensitivity Setup'!$D$7:$O$171,MATCH($E97&amp;"Low",'Sensitivity Setup'!$E$7:$E$171&amp;'Sensitivity Setup'!$F$7:$F$171,0),MATCH($M$89,'Sensitivity Setup'!$D$7:$O$7,0)),"")</f>
        <v>30.727083333333336</v>
      </c>
      <c r="N97" s="139">
        <f t="array" ref="N97">IFERROR(INDEX('Sensitivity Setup'!$D$7:$O$171,MATCH($E97&amp;"High",'Sensitivity Setup'!$E$7:$E$171&amp;'Sensitivity Setup'!$F$7:$F$171,0),MATCH($M$89,'Sensitivity Setup'!$D$7:$O$7,0)),"")</f>
        <v>57.064583333333324</v>
      </c>
      <c r="O97" s="144">
        <f t="array" ref="O97">IFERROR(INDEX('Sensitivity Setup'!$D$7:$O$171,MATCH($E97&amp;"Low",'Sensitivity Setup'!$E$7:$E$171&amp;'Sensitivity Setup'!$F$7:$F$171,0),MATCH($O$89,'Sensitivity Setup'!$D$7:$O$7,0)),"")</f>
        <v>5590.8133333333326</v>
      </c>
      <c r="P97" s="144">
        <f t="array" ref="P97">IFERROR(INDEX('Sensitivity Setup'!$D$7:$O$171,MATCH($E97&amp;"High",'Sensitivity Setup'!$E$7:$E$171&amp;'Sensitivity Setup'!$F$7:$F$171,0),MATCH($O$89,'Sensitivity Setup'!$D$7:$O$7,0)),"")</f>
        <v>9868.6533333333336</v>
      </c>
      <c r="R97" s="1"/>
    </row>
    <row r="98" spans="1:18" s="60" customFormat="1">
      <c r="A98" s="58"/>
      <c r="B98" s="5"/>
      <c r="C98" s="59"/>
      <c r="D98" s="61"/>
      <c r="E98" s="137" t="str">
        <f>'Sensitivity Setup'!$E$24</f>
        <v>Minutes spent on each case reached +/- 30%</v>
      </c>
      <c r="F98" s="149">
        <f t="array" ref="F98">IFERROR(INDEX('Sensitivity Setup'!$D$7:$O$171,MATCH($E98&amp;"Low",'Sensitivity Setup'!$E$7:$E$171&amp;'Sensitivity Setup'!$F$7:$F$171,0),MATCH("Base-case (value)",'Sensitivity Setup'!$D$7:$O$7,0)),"")</f>
        <v>75</v>
      </c>
      <c r="G98" s="149">
        <f t="array" ref="G98">IFERROR(INDEX('Sensitivity Setup'!$D$7:$O$171,MATCH($E98&amp;"Low",'Sensitivity Setup'!$E$7:$E$171&amp;'Sensitivity Setup'!$F$7:$F$171,0),MATCH("Input SA value",'Sensitivity Setup'!$D$7:$O$7,0)),"")</f>
        <v>52.5</v>
      </c>
      <c r="H98" s="149">
        <f t="array" ref="H98">IFERROR(INDEX('Sensitivity Setup'!$D$7:$O$171,MATCH($E98&amp;"High",'Sensitivity Setup'!$E$7:$E$171&amp;'Sensitivity Setup'!$F$7:$F$171,0),MATCH("Input SA value",'Sensitivity Setup'!$D$7:$O$7,0)),"")</f>
        <v>97.5</v>
      </c>
      <c r="I98" s="139">
        <f t="array" ref="I98">IFERROR(INDEX('Sensitivity Setup'!$D$7:$O$171,MATCH($E98&amp;"Low",'Sensitivity Setup'!$E$7:$E$171&amp;'Sensitivity Setup'!$F$7:$F$171,0),MATCH($I$89,'Sensitivity Setup'!$D$7:$O$7,0)),"")</f>
        <v>74.218374999999995</v>
      </c>
      <c r="J98" s="139">
        <f t="array" ref="J98">IFERROR(INDEX('Sensitivity Setup'!$D$7:$O$171,MATCH($E98&amp;"High",'Sensitivity Setup'!$E$7:$E$171&amp;'Sensitivity Setup'!$F$7:$F$171,0),MATCH($I$89,'Sensitivity Setup'!$D$7:$O$7,0)),"")</f>
        <v>84.324625000000012</v>
      </c>
      <c r="K98" s="139">
        <f t="array" ref="K98">IFERROR(INDEX('Sensitivity Setup'!$D$7:$O$171,MATCH($E98&amp;"Low",'Sensitivity Setup'!$E$7:$E$171&amp;'Sensitivity Setup'!$F$7:$F$171,0),MATCH($K$89,'Sensitivity Setup'!$D$7:$O$7,0)),"")</f>
        <v>12.46875</v>
      </c>
      <c r="L98" s="139">
        <f t="array" ref="L98">IFERROR(INDEX('Sensitivity Setup'!$D$7:$O$171,MATCH($E98&amp;"High",'Sensitivity Setup'!$E$7:$E$171&amp;'Sensitivity Setup'!$F$7:$F$171,0),MATCH($K$89,'Sensitivity Setup'!$D$7:$O$7,0)),"")</f>
        <v>21.65625</v>
      </c>
      <c r="M98" s="139">
        <f t="array" ref="M98">IFERROR(INDEX('Sensitivity Setup'!$D$7:$O$171,MATCH($E98&amp;"Low",'Sensitivity Setup'!$E$7:$E$171&amp;'Sensitivity Setup'!$F$7:$F$171,0),MATCH($M$89,'Sensitivity Setup'!$D$7:$O$7,0)),"")</f>
        <v>43.895833333333336</v>
      </c>
      <c r="N98" s="139">
        <f t="array" ref="N98">IFERROR(INDEX('Sensitivity Setup'!$D$7:$O$171,MATCH($E98&amp;"High",'Sensitivity Setup'!$E$7:$E$171&amp;'Sensitivity Setup'!$F$7:$F$171,0),MATCH($M$89,'Sensitivity Setup'!$D$7:$O$7,0)),"")</f>
        <v>43.895833333333336</v>
      </c>
      <c r="O98" s="144">
        <f t="array" ref="O98">IFERROR(INDEX('Sensitivity Setup'!$D$7:$O$171,MATCH($E98&amp;"Low",'Sensitivity Setup'!$E$7:$E$171&amp;'Sensitivity Setup'!$F$7:$F$171,0),MATCH($O$89,'Sensitivity Setup'!$D$7:$O$7,0)),"")</f>
        <v>7257.2333333333336</v>
      </c>
      <c r="P98" s="144">
        <f t="array" ref="P98">IFERROR(INDEX('Sensitivity Setup'!$D$7:$O$171,MATCH($E98&amp;"High",'Sensitivity Setup'!$E$7:$E$171&amp;'Sensitivity Setup'!$F$7:$F$171,0),MATCH($O$89,'Sensitivity Setup'!$D$7:$O$7,0)),"")</f>
        <v>8202.2333333333336</v>
      </c>
      <c r="R98" s="1"/>
    </row>
    <row r="99" spans="1:18" s="60" customFormat="1">
      <c r="A99" s="58"/>
      <c r="B99" s="5"/>
      <c r="C99" s="59"/>
      <c r="D99" s="61"/>
      <c r="E99" s="137" t="str">
        <f>'Sensitivity Setup'!$E$28</f>
        <v>Minutes spent on each case not reached +/- 30%</v>
      </c>
      <c r="F99" s="149">
        <f t="array" ref="F99">IFERROR(INDEX('Sensitivity Setup'!$D$7:$O$171,MATCH($E99&amp;"Low",'Sensitivity Setup'!$E$7:$E$171&amp;'Sensitivity Setup'!$F$7:$F$171,0),MATCH("Base-case (value)",'Sensitivity Setup'!$D$7:$O$7,0)),"")</f>
        <v>20</v>
      </c>
      <c r="G99" s="149">
        <f t="array" ref="G99">IFERROR(INDEX('Sensitivity Setup'!$D$7:$O$171,MATCH($E99&amp;"Low",'Sensitivity Setup'!$E$7:$E$171&amp;'Sensitivity Setup'!$F$7:$F$171,0),MATCH("Input SA value",'Sensitivity Setup'!$D$7:$O$7,0)),"")</f>
        <v>14</v>
      </c>
      <c r="H99" s="149">
        <f t="array" ref="H99">IFERROR(INDEX('Sensitivity Setup'!$D$7:$O$171,MATCH($E99&amp;"High",'Sensitivity Setup'!$E$7:$E$171&amp;'Sensitivity Setup'!$F$7:$F$171,0),MATCH("Input SA value",'Sensitivity Setup'!$D$7:$O$7,0)),"")</f>
        <v>26</v>
      </c>
      <c r="I99" s="139">
        <f t="array" ref="I99">IFERROR(INDEX('Sensitivity Setup'!$D$7:$O$171,MATCH($E99&amp;"Low",'Sensitivity Setup'!$E$7:$E$171&amp;'Sensitivity Setup'!$F$7:$F$171,0),MATCH($I$89,'Sensitivity Setup'!$D$7:$O$7,0)),"")</f>
        <v>78.694000000000003</v>
      </c>
      <c r="J99" s="139">
        <f t="array" ref="J99">IFERROR(INDEX('Sensitivity Setup'!$D$7:$O$171,MATCH($E99&amp;"High",'Sensitivity Setup'!$E$7:$E$171&amp;'Sensitivity Setup'!$F$7:$F$171,0),MATCH($I$89,'Sensitivity Setup'!$D$7:$O$7,0)),"")</f>
        <v>79.849000000000004</v>
      </c>
      <c r="K99" s="139">
        <f t="array" ref="K99">IFERROR(INDEX('Sensitivity Setup'!$D$7:$O$171,MATCH($E99&amp;"Low",'Sensitivity Setup'!$E$7:$E$171&amp;'Sensitivity Setup'!$F$7:$F$171,0),MATCH($K$89,'Sensitivity Setup'!$D$7:$O$7,0)),"")</f>
        <v>16.537500000000001</v>
      </c>
      <c r="L99" s="139">
        <f t="array" ref="L99">IFERROR(INDEX('Sensitivity Setup'!$D$7:$O$171,MATCH($E99&amp;"High",'Sensitivity Setup'!$E$7:$E$171&amp;'Sensitivity Setup'!$F$7:$F$171,0),MATCH($K$89,'Sensitivity Setup'!$D$7:$O$7,0)),"")</f>
        <v>17.587499999999999</v>
      </c>
      <c r="M99" s="139">
        <f t="array" ref="M99">IFERROR(INDEX('Sensitivity Setup'!$D$7:$O$171,MATCH($E99&amp;"Low",'Sensitivity Setup'!$E$7:$E$171&amp;'Sensitivity Setup'!$F$7:$F$171,0),MATCH($M$89,'Sensitivity Setup'!$D$7:$O$7,0)),"")</f>
        <v>43.895833333333336</v>
      </c>
      <c r="N99" s="139">
        <f t="array" ref="N99">IFERROR(INDEX('Sensitivity Setup'!$D$7:$O$171,MATCH($E99&amp;"High",'Sensitivity Setup'!$E$7:$E$171&amp;'Sensitivity Setup'!$F$7:$F$171,0),MATCH($M$89,'Sensitivity Setup'!$D$7:$O$7,0)),"")</f>
        <v>43.895833333333336</v>
      </c>
      <c r="O99" s="144">
        <f t="array" ref="O99">IFERROR(INDEX('Sensitivity Setup'!$D$7:$O$171,MATCH($E99&amp;"Low",'Sensitivity Setup'!$E$7:$E$171&amp;'Sensitivity Setup'!$F$7:$F$171,0),MATCH($O$89,'Sensitivity Setup'!$D$7:$O$7,0)),"")</f>
        <v>7675.7333333333336</v>
      </c>
      <c r="P99" s="144">
        <f t="array" ref="P99">IFERROR(INDEX('Sensitivity Setup'!$D$7:$O$171,MATCH($E99&amp;"High",'Sensitivity Setup'!$E$7:$E$171&amp;'Sensitivity Setup'!$F$7:$F$171,0),MATCH($O$89,'Sensitivity Setup'!$D$7:$O$7,0)),"")</f>
        <v>7783.7333333333336</v>
      </c>
      <c r="R99" s="1"/>
    </row>
    <row r="100" spans="1:18" s="60" customFormat="1">
      <c r="A100" s="58"/>
      <c r="B100" s="5"/>
      <c r="C100" s="59"/>
      <c r="D100" s="61"/>
      <c r="E100" s="76" t="s">
        <v>80</v>
      </c>
      <c r="F100" s="140" t="str">
        <f t="array" ref="F100">IFERROR(INDEX('Sensitivity Setup'!$D$7:$O$171,MATCH($E100&amp;"Low",'Sensitivity Setup'!$E$7:$E$171&amp;'Sensitivity Setup'!$F$7:$F$171,0),MATCH("Base-case (value)",'Sensitivity Setup'!$D$7:$O$7,0)),"")</f>
        <v/>
      </c>
      <c r="G100" s="140" t="str">
        <f t="array" ref="G100">IFERROR(INDEX('Sensitivity Setup'!$D$7:$O$171,MATCH($E100&amp;"Low",'Sensitivity Setup'!$E$7:$E$171&amp;'Sensitivity Setup'!$F$7:$F$171,0),MATCH("Input SA value",'Sensitivity Setup'!$D$7:$O$7,0)),"")</f>
        <v/>
      </c>
      <c r="H100" s="140" t="str">
        <f t="array" ref="H100">IFERROR(INDEX('Sensitivity Setup'!$D$7:$O$171,MATCH($E100&amp;"High",'Sensitivity Setup'!$E$7:$E$171&amp;'Sensitivity Setup'!$F$7:$F$171,0),MATCH("Input SA value",'Sensitivity Setup'!$D$7:$O$7,0)),"")</f>
        <v/>
      </c>
      <c r="I100" s="140" t="str">
        <f t="array" ref="I100">IFERROR(INDEX('Sensitivity Setup'!$D$7:$O$171,MATCH($E100&amp;"Low",'Sensitivity Setup'!$E$7:$E$171&amp;'Sensitivity Setup'!$F$7:$F$171,0),MATCH($I$89,'Sensitivity Setup'!$D$7:$O$7,0)),"")</f>
        <v/>
      </c>
      <c r="J100" s="140" t="str">
        <f t="array" ref="J100">IFERROR(INDEX('Sensitivity Setup'!$D$7:$O$171,MATCH($E100&amp;"High",'Sensitivity Setup'!$E$7:$E$171&amp;'Sensitivity Setup'!$F$7:$F$171,0),MATCH($I$89,'Sensitivity Setup'!$D$7:$O$7,0)),"")</f>
        <v/>
      </c>
      <c r="K100" s="140" t="str">
        <f t="array" ref="K100">IFERROR(INDEX('Sensitivity Setup'!$D$7:$O$171,MATCH($E100&amp;"Low",'Sensitivity Setup'!$E$7:$E$171&amp;'Sensitivity Setup'!$F$7:$F$171,0),MATCH($K$89,'Sensitivity Setup'!$D$7:$O$7,0)),"")</f>
        <v/>
      </c>
      <c r="L100" s="140" t="str">
        <f t="array" ref="L100">IFERROR(INDEX('Sensitivity Setup'!$D$7:$O$171,MATCH($E100&amp;"High",'Sensitivity Setup'!$E$7:$E$171&amp;'Sensitivity Setup'!$F$7:$F$171,0),MATCH($K$89,'Sensitivity Setup'!$D$7:$O$7,0)),"")</f>
        <v/>
      </c>
      <c r="M100" s="140" t="str">
        <f t="array" ref="M100">IFERROR(INDEX('Sensitivity Setup'!$D$7:$O$171,MATCH($E100&amp;"Low",'Sensitivity Setup'!$E$7:$E$171&amp;'Sensitivity Setup'!$F$7:$F$171,0),MATCH($M$89,'Sensitivity Setup'!$D$7:$O$7,0)),"")</f>
        <v/>
      </c>
      <c r="N100" s="140" t="str">
        <f t="array" ref="N100">IFERROR(INDEX('Sensitivity Setup'!$D$7:$O$171,MATCH($E100&amp;"High",'Sensitivity Setup'!$E$7:$E$171&amp;'Sensitivity Setup'!$F$7:$F$171,0),MATCH($M$89,'Sensitivity Setup'!$D$7:$O$7,0)),"")</f>
        <v/>
      </c>
      <c r="O100" s="145" t="str">
        <f t="array" ref="O100">IFERROR(INDEX('Sensitivity Setup'!$D$7:$O$171,MATCH($E100&amp;"Low",'Sensitivity Setup'!$E$7:$E$171&amp;'Sensitivity Setup'!$F$7:$F$171,0),MATCH($O$89,'Sensitivity Setup'!$D$7:$O$7,0)),"")</f>
        <v/>
      </c>
      <c r="P100" s="145" t="str">
        <f t="array" ref="P100">IFERROR(INDEX('Sensitivity Setup'!$D$7:$O$171,MATCH($E100&amp;"High",'Sensitivity Setup'!$E$7:$E$171&amp;'Sensitivity Setup'!$F$7:$F$171,0),MATCH($O$89,'Sensitivity Setup'!$D$7:$O$7,0)),"")</f>
        <v/>
      </c>
      <c r="R100" s="1"/>
    </row>
    <row r="101" spans="1:18" s="60" customFormat="1">
      <c r="A101" s="58"/>
      <c r="B101" s="5"/>
      <c r="C101" s="59"/>
      <c r="D101" s="61"/>
      <c r="E101" s="137" t="str">
        <f>'Sensitivity Setup'!$E$32</f>
        <v>Proportion of contacts reached +/- 30%</v>
      </c>
      <c r="F101" s="149">
        <f t="array" ref="F101">IFERROR(INDEX('Sensitivity Setup'!$D$7:$O$171,MATCH($E101&amp;"Low",'Sensitivity Setup'!$E$7:$E$171&amp;'Sensitivity Setup'!$F$7:$F$171,0),MATCH("Base-case (value)",'Sensitivity Setup'!$D$7:$O$7,0)),"")</f>
        <v>0.5</v>
      </c>
      <c r="G101" s="149">
        <f t="array" ref="G101">IFERROR(INDEX('Sensitivity Setup'!$D$7:$O$171,MATCH($E101&amp;"Low",'Sensitivity Setup'!$E$7:$E$171&amp;'Sensitivity Setup'!$F$7:$F$171,0),MATCH("Input SA value",'Sensitivity Setup'!$D$7:$O$7,0)),"")</f>
        <v>0.35</v>
      </c>
      <c r="H101" s="149">
        <f t="array" ref="H101">IFERROR(INDEX('Sensitivity Setup'!$D$7:$O$171,MATCH($E101&amp;"High",'Sensitivity Setup'!$E$7:$E$171&amp;'Sensitivity Setup'!$F$7:$F$171,0),MATCH("Input SA value",'Sensitivity Setup'!$D$7:$O$7,0)),"")</f>
        <v>0.65</v>
      </c>
      <c r="I101" s="139">
        <f t="array" ref="I101">IFERROR(INDEX('Sensitivity Setup'!$D$7:$O$171,MATCH($E101&amp;"Low",'Sensitivity Setup'!$E$7:$E$171&amp;'Sensitivity Setup'!$F$7:$F$171,0),MATCH($I$89,'Sensitivity Setup'!$D$7:$O$7,0)),"")</f>
        <v>68.828374999999994</v>
      </c>
      <c r="J101" s="139">
        <f t="array" ref="J101">IFERROR(INDEX('Sensitivity Setup'!$D$7:$O$171,MATCH($E101&amp;"High",'Sensitivity Setup'!$E$7:$E$171&amp;'Sensitivity Setup'!$F$7:$F$171,0),MATCH($I$89,'Sensitivity Setup'!$D$7:$O$7,0)),"")</f>
        <v>89.714624999999998</v>
      </c>
      <c r="K101" s="139">
        <f t="array" ref="K101">IFERROR(INDEX('Sensitivity Setup'!$D$7:$O$171,MATCH($E101&amp;"Low",'Sensitivity Setup'!$E$7:$E$171&amp;'Sensitivity Setup'!$F$7:$F$171,0),MATCH($K$89,'Sensitivity Setup'!$D$7:$O$7,0)),"")</f>
        <v>17.0625</v>
      </c>
      <c r="L101" s="139">
        <f t="array" ref="L101">IFERROR(INDEX('Sensitivity Setup'!$D$7:$O$171,MATCH($E101&amp;"High",'Sensitivity Setup'!$E$7:$E$171&amp;'Sensitivity Setup'!$F$7:$F$171,0),MATCH($K$89,'Sensitivity Setup'!$D$7:$O$7,0)),"")</f>
        <v>17.0625</v>
      </c>
      <c r="M101" s="139">
        <f t="array" ref="M101">IFERROR(INDEX('Sensitivity Setup'!$D$7:$O$171,MATCH($E101&amp;"Low",'Sensitivity Setup'!$E$7:$E$171&amp;'Sensitivity Setup'!$F$7:$F$171,0),MATCH($M$89,'Sensitivity Setup'!$D$7:$O$7,0)),"")</f>
        <v>36.852083333333333</v>
      </c>
      <c r="N101" s="139">
        <f t="array" ref="N101">IFERROR(INDEX('Sensitivity Setup'!$D$7:$O$171,MATCH($E101&amp;"High",'Sensitivity Setup'!$E$7:$E$171&amp;'Sensitivity Setup'!$F$7:$F$171,0),MATCH($M$89,'Sensitivity Setup'!$D$7:$O$7,0)),"")</f>
        <v>50.939583333333331</v>
      </c>
      <c r="O101" s="144">
        <f t="array" ref="O101">IFERROR(INDEX('Sensitivity Setup'!$D$7:$O$171,MATCH($E101&amp;"Low",'Sensitivity Setup'!$E$7:$E$171&amp;'Sensitivity Setup'!$F$7:$F$171,0),MATCH($O$89,'Sensitivity Setup'!$D$7:$O$7,0)),"")</f>
        <v>6683.2333333333336</v>
      </c>
      <c r="P101" s="144">
        <f t="array" ref="P101">IFERROR(INDEX('Sensitivity Setup'!$D$7:$O$171,MATCH($E101&amp;"High",'Sensitivity Setup'!$E$7:$E$171&amp;'Sensitivity Setup'!$F$7:$F$171,0),MATCH($O$89,'Sensitivity Setup'!$D$7:$O$7,0)),"")</f>
        <v>8776.2333333333336</v>
      </c>
      <c r="R101" s="1"/>
    </row>
    <row r="102" spans="1:18" s="60" customFormat="1">
      <c r="A102" s="58"/>
      <c r="B102" s="5"/>
      <c r="C102" s="59"/>
      <c r="D102" s="61"/>
      <c r="E102" s="137" t="str">
        <f>'Sensitivity Setup'!$E$36</f>
        <v>Minutes spent on each contact reached +/- 30%</v>
      </c>
      <c r="F102" s="149">
        <f t="array" ref="F102">IFERROR(INDEX('Sensitivity Setup'!$D$7:$O$171,MATCH($E102&amp;"Low",'Sensitivity Setup'!$E$7:$E$171&amp;'Sensitivity Setup'!$F$7:$F$171,0),MATCH("Base-case (value)",'Sensitivity Setup'!$D$7:$O$7,0)),"")</f>
        <v>45</v>
      </c>
      <c r="G102" s="149">
        <f t="array" ref="G102">IFERROR(INDEX('Sensitivity Setup'!$D$7:$O$171,MATCH($E102&amp;"Low",'Sensitivity Setup'!$E$7:$E$171&amp;'Sensitivity Setup'!$F$7:$F$171,0),MATCH("Input SA value",'Sensitivity Setup'!$D$7:$O$7,0)),"")</f>
        <v>31.5</v>
      </c>
      <c r="H102" s="149">
        <f t="array" ref="H102">IFERROR(INDEX('Sensitivity Setup'!$D$7:$O$171,MATCH($E102&amp;"High",'Sensitivity Setup'!$E$7:$E$171&amp;'Sensitivity Setup'!$F$7:$F$171,0),MATCH("Input SA value",'Sensitivity Setup'!$D$7:$O$7,0)),"")</f>
        <v>58.5</v>
      </c>
      <c r="I102" s="139">
        <f t="array" ref="I102">IFERROR(INDEX('Sensitivity Setup'!$D$7:$O$171,MATCH($E102&amp;"Low",'Sensitivity Setup'!$E$7:$E$171&amp;'Sensitivity Setup'!$F$7:$F$171,0),MATCH($I$89,'Sensitivity Setup'!$D$7:$O$7,0)),"")</f>
        <v>71.691812499999997</v>
      </c>
      <c r="J102" s="139">
        <f t="array" ref="J102">IFERROR(INDEX('Sensitivity Setup'!$D$7:$O$171,MATCH($E102&amp;"High",'Sensitivity Setup'!$E$7:$E$171&amp;'Sensitivity Setup'!$F$7:$F$171,0),MATCH($I$89,'Sensitivity Setup'!$D$7:$O$7,0)),"")</f>
        <v>86.851187499999995</v>
      </c>
      <c r="K102" s="139">
        <f t="array" ref="K102">IFERROR(INDEX('Sensitivity Setup'!$D$7:$O$171,MATCH($E102&amp;"Low",'Sensitivity Setup'!$E$7:$E$171&amp;'Sensitivity Setup'!$F$7:$F$171,0),MATCH($K$89,'Sensitivity Setup'!$D$7:$O$7,0)),"")</f>
        <v>17.0625</v>
      </c>
      <c r="L102" s="139">
        <f t="array" ref="L102">IFERROR(INDEX('Sensitivity Setup'!$D$7:$O$171,MATCH($E102&amp;"High",'Sensitivity Setup'!$E$7:$E$171&amp;'Sensitivity Setup'!$F$7:$F$171,0),MATCH($K$89,'Sensitivity Setup'!$D$7:$O$7,0)),"")</f>
        <v>17.0625</v>
      </c>
      <c r="M102" s="139">
        <f t="array" ref="M102">IFERROR(INDEX('Sensitivity Setup'!$D$7:$O$171,MATCH($E102&amp;"Low",'Sensitivity Setup'!$E$7:$E$171&amp;'Sensitivity Setup'!$F$7:$F$171,0),MATCH($M$89,'Sensitivity Setup'!$D$7:$O$7,0)),"")</f>
        <v>37.005208333333336</v>
      </c>
      <c r="N102" s="139">
        <f t="array" ref="N102">IFERROR(INDEX('Sensitivity Setup'!$D$7:$O$171,MATCH($E102&amp;"High",'Sensitivity Setup'!$E$7:$E$171&amp;'Sensitivity Setup'!$F$7:$F$171,0),MATCH($M$89,'Sensitivity Setup'!$D$7:$O$7,0)),"")</f>
        <v>50.786458333333329</v>
      </c>
      <c r="O102" s="144">
        <f t="array" ref="O102">IFERROR(INDEX('Sensitivity Setup'!$D$7:$O$171,MATCH($E102&amp;"Low",'Sensitivity Setup'!$E$7:$E$171&amp;'Sensitivity Setup'!$F$7:$F$171,0),MATCH($O$89,'Sensitivity Setup'!$D$7:$O$7,0)),"")</f>
        <v>7020.9833333333336</v>
      </c>
      <c r="P102" s="144">
        <f t="array" ref="P102">IFERROR(INDEX('Sensitivity Setup'!$D$7:$O$171,MATCH($E102&amp;"High",'Sensitivity Setup'!$E$7:$E$171&amp;'Sensitivity Setup'!$F$7:$F$171,0),MATCH($O$89,'Sensitivity Setup'!$D$7:$O$7,0)),"")</f>
        <v>8438.4833333333336</v>
      </c>
      <c r="R102" s="1"/>
    </row>
    <row r="103" spans="1:18" s="60" customFormat="1">
      <c r="A103" s="58"/>
      <c r="B103" s="5"/>
      <c r="C103" s="59"/>
      <c r="D103" s="61"/>
      <c r="E103" s="137" t="str">
        <f>'Sensitivity Setup'!$E$40</f>
        <v>Minutes spent on each contact not reached +/- 30%</v>
      </c>
      <c r="F103" s="149">
        <f t="array" ref="F103">IFERROR(INDEX('Sensitivity Setup'!$D$7:$O$171,MATCH($E103&amp;"Low",'Sensitivity Setup'!$E$7:$E$171&amp;'Sensitivity Setup'!$F$7:$F$171,0),MATCH("Base-case (value)",'Sensitivity Setup'!$D$7:$O$7,0)),"")</f>
        <v>20</v>
      </c>
      <c r="G103" s="149">
        <f t="array" ref="G103">IFERROR(INDEX('Sensitivity Setup'!$D$7:$O$171,MATCH($E103&amp;"Low",'Sensitivity Setup'!$E$7:$E$171&amp;'Sensitivity Setup'!$F$7:$F$171,0),MATCH("Input SA value",'Sensitivity Setup'!$D$7:$O$7,0)),"")</f>
        <v>14</v>
      </c>
      <c r="H103" s="149">
        <f t="array" ref="H103">IFERROR(INDEX('Sensitivity Setup'!$D$7:$O$171,MATCH($E103&amp;"High",'Sensitivity Setup'!$E$7:$E$171&amp;'Sensitivity Setup'!$F$7:$F$171,0),MATCH("Input SA value",'Sensitivity Setup'!$D$7:$O$7,0)),"")</f>
        <v>26</v>
      </c>
      <c r="I103" s="139">
        <f t="array" ref="I103">IFERROR(INDEX('Sensitivity Setup'!$D$7:$O$171,MATCH($E103&amp;"Low",'Sensitivity Setup'!$E$7:$E$171&amp;'Sensitivity Setup'!$F$7:$F$171,0),MATCH($I$89,'Sensitivity Setup'!$D$7:$O$7,0)),"")</f>
        <v>75.902749999999997</v>
      </c>
      <c r="J103" s="139">
        <f t="array" ref="J103">IFERROR(INDEX('Sensitivity Setup'!$D$7:$O$171,MATCH($E103&amp;"High",'Sensitivity Setup'!$E$7:$E$171&amp;'Sensitivity Setup'!$F$7:$F$171,0),MATCH($I$89,'Sensitivity Setup'!$D$7:$O$7,0)),"")</f>
        <v>82.640249999999995</v>
      </c>
      <c r="K103" s="139">
        <f t="array" ref="K103">IFERROR(INDEX('Sensitivity Setup'!$D$7:$O$171,MATCH($E103&amp;"Low",'Sensitivity Setup'!$E$7:$E$171&amp;'Sensitivity Setup'!$F$7:$F$171,0),MATCH($K$89,'Sensitivity Setup'!$D$7:$O$7,0)),"")</f>
        <v>17.0625</v>
      </c>
      <c r="L103" s="139">
        <f t="array" ref="L103">IFERROR(INDEX('Sensitivity Setup'!$D$7:$O$171,MATCH($E103&amp;"High",'Sensitivity Setup'!$E$7:$E$171&amp;'Sensitivity Setup'!$F$7:$F$171,0),MATCH($K$89,'Sensitivity Setup'!$D$7:$O$7,0)),"")</f>
        <v>17.0625</v>
      </c>
      <c r="M103" s="139">
        <f t="array" ref="M103">IFERROR(INDEX('Sensitivity Setup'!$D$7:$O$171,MATCH($E103&amp;"Low",'Sensitivity Setup'!$E$7:$E$171&amp;'Sensitivity Setup'!$F$7:$F$171,0),MATCH($M$89,'Sensitivity Setup'!$D$7:$O$7,0)),"")</f>
        <v>40.833333333333336</v>
      </c>
      <c r="N103" s="139">
        <f t="array" ref="N103">IFERROR(INDEX('Sensitivity Setup'!$D$7:$O$171,MATCH($E103&amp;"High",'Sensitivity Setup'!$E$7:$E$171&amp;'Sensitivity Setup'!$F$7:$F$171,0),MATCH($M$89,'Sensitivity Setup'!$D$7:$O$7,0)),"")</f>
        <v>46.958333333333329</v>
      </c>
      <c r="O103" s="144">
        <f t="array" ref="O103">IFERROR(INDEX('Sensitivity Setup'!$D$7:$O$171,MATCH($E103&amp;"Low",'Sensitivity Setup'!$E$7:$E$171&amp;'Sensitivity Setup'!$F$7:$F$171,0),MATCH($O$89,'Sensitivity Setup'!$D$7:$O$7,0)),"")</f>
        <v>7414.7333333333336</v>
      </c>
      <c r="P103" s="144">
        <f t="array" ref="P103">IFERROR(INDEX('Sensitivity Setup'!$D$7:$O$171,MATCH($E103&amp;"High",'Sensitivity Setup'!$E$7:$E$171&amp;'Sensitivity Setup'!$F$7:$F$171,0),MATCH($O$89,'Sensitivity Setup'!$D$7:$O$7,0)),"")</f>
        <v>8044.7333333333336</v>
      </c>
      <c r="R103" s="1"/>
    </row>
    <row r="104" spans="1:18" s="60" customFormat="1">
      <c r="A104" s="58"/>
      <c r="B104" s="5"/>
      <c r="C104" s="59"/>
      <c r="D104" s="61"/>
      <c r="E104" s="76" t="s">
        <v>81</v>
      </c>
      <c r="F104" s="140" t="str">
        <f t="array" ref="F104">IFERROR(INDEX('Sensitivity Setup'!$D$7:$O$171,MATCH($E104&amp;"Low",'Sensitivity Setup'!$E$7:$E$171&amp;'Sensitivity Setup'!$F$7:$F$171,0),MATCH("Base-case (value)",'Sensitivity Setup'!$D$7:$O$7,0)),"")</f>
        <v/>
      </c>
      <c r="G104" s="140" t="str">
        <f t="array" ref="G104">IFERROR(INDEX('Sensitivity Setup'!$D$7:$O$171,MATCH($E104&amp;"Low",'Sensitivity Setup'!$E$7:$E$171&amp;'Sensitivity Setup'!$F$7:$F$171,0),MATCH("Input SA value",'Sensitivity Setup'!$D$7:$O$7,0)),"")</f>
        <v/>
      </c>
      <c r="H104" s="140" t="str">
        <f t="array" ref="H104">IFERROR(INDEX('Sensitivity Setup'!$D$7:$O$171,MATCH($E104&amp;"High",'Sensitivity Setup'!$E$7:$E$171&amp;'Sensitivity Setup'!$F$7:$F$171,0),MATCH("Input SA value",'Sensitivity Setup'!$D$7:$O$7,0)),"")</f>
        <v/>
      </c>
      <c r="I104" s="140" t="str">
        <f t="array" ref="I104">IFERROR(INDEX('Sensitivity Setup'!$D$7:$O$171,MATCH($E104&amp;"Low",'Sensitivity Setup'!$E$7:$E$171&amp;'Sensitivity Setup'!$F$7:$F$171,0),MATCH($I$89,'Sensitivity Setup'!$D$7:$O$7,0)),"")</f>
        <v/>
      </c>
      <c r="J104" s="140" t="str">
        <f t="array" ref="J104">IFERROR(INDEX('Sensitivity Setup'!$D$7:$O$171,MATCH($E104&amp;"High",'Sensitivity Setup'!$E$7:$E$171&amp;'Sensitivity Setup'!$F$7:$F$171,0),MATCH($I$89,'Sensitivity Setup'!$D$7:$O$7,0)),"")</f>
        <v/>
      </c>
      <c r="K104" s="140" t="str">
        <f t="array" ref="K104">IFERROR(INDEX('Sensitivity Setup'!$D$7:$O$171,MATCH($E104&amp;"Low",'Sensitivity Setup'!$E$7:$E$171&amp;'Sensitivity Setup'!$F$7:$F$171,0),MATCH($K$89,'Sensitivity Setup'!$D$7:$O$7,0)),"")</f>
        <v/>
      </c>
      <c r="L104" s="140" t="str">
        <f t="array" ref="L104">IFERROR(INDEX('Sensitivity Setup'!$D$7:$O$171,MATCH($E104&amp;"High",'Sensitivity Setup'!$E$7:$E$171&amp;'Sensitivity Setup'!$F$7:$F$171,0),MATCH($K$89,'Sensitivity Setup'!$D$7:$O$7,0)),"")</f>
        <v/>
      </c>
      <c r="M104" s="140" t="str">
        <f t="array" ref="M104">IFERROR(INDEX('Sensitivity Setup'!$D$7:$O$171,MATCH($E104&amp;"Low",'Sensitivity Setup'!$E$7:$E$171&amp;'Sensitivity Setup'!$F$7:$F$171,0),MATCH($M$89,'Sensitivity Setup'!$D$7:$O$7,0)),"")</f>
        <v/>
      </c>
      <c r="N104" s="140" t="str">
        <f t="array" ref="N104">IFERROR(INDEX('Sensitivity Setup'!$D$7:$O$171,MATCH($E104&amp;"High",'Sensitivity Setup'!$E$7:$E$171&amp;'Sensitivity Setup'!$F$7:$F$171,0),MATCH($M$89,'Sensitivity Setup'!$D$7:$O$7,0)),"")</f>
        <v/>
      </c>
      <c r="O104" s="145" t="str">
        <f t="array" ref="O104">IFERROR(INDEX('Sensitivity Setup'!$D$7:$O$171,MATCH($E104&amp;"Low",'Sensitivity Setup'!$E$7:$E$171&amp;'Sensitivity Setup'!$F$7:$F$171,0),MATCH($O$89,'Sensitivity Setup'!$D$7:$O$7,0)),"")</f>
        <v/>
      </c>
      <c r="P104" s="145" t="str">
        <f t="array" ref="P104">IFERROR(INDEX('Sensitivity Setup'!$D$7:$O$171,MATCH($E104&amp;"High",'Sensitivity Setup'!$E$7:$E$171&amp;'Sensitivity Setup'!$F$7:$F$171,0),MATCH($O$89,'Sensitivity Setup'!$D$7:$O$7,0)),"")</f>
        <v/>
      </c>
      <c r="R104" s="1"/>
    </row>
    <row r="105" spans="1:18" s="60" customFormat="1">
      <c r="A105" s="58"/>
      <c r="B105" s="5"/>
      <c r="C105" s="59"/>
      <c r="D105" s="61"/>
      <c r="E105" s="137" t="str">
        <f>'Sensitivity Setup'!$E$44</f>
        <v>Number of follow-up calls +/- 30%</v>
      </c>
      <c r="F105" s="149">
        <f t="array" ref="F105">IFERROR(INDEX('Sensitivity Setup'!$D$7:$O$171,MATCH($E105&amp;"Low",'Sensitivity Setup'!$E$7:$E$171&amp;'Sensitivity Setup'!$F$7:$F$171,0),MATCH("Base-case (value)",'Sensitivity Setup'!$D$7:$O$7,0)),"")</f>
        <v>2</v>
      </c>
      <c r="G105" s="149">
        <f t="array" ref="G105">IFERROR(INDEX('Sensitivity Setup'!$D$7:$O$171,MATCH($E105&amp;"Low",'Sensitivity Setup'!$E$7:$E$171&amp;'Sensitivity Setup'!$F$7:$F$171,0),MATCH("Input SA value",'Sensitivity Setup'!$D$7:$O$7,0)),"")</f>
        <v>1.4</v>
      </c>
      <c r="H105" s="149">
        <f t="array" ref="H105">IFERROR(INDEX('Sensitivity Setup'!$D$7:$O$171,MATCH($E105&amp;"High",'Sensitivity Setup'!$E$7:$E$171&amp;'Sensitivity Setup'!$F$7:$F$171,0),MATCH("Input SA value",'Sensitivity Setup'!$D$7:$O$7,0)),"")</f>
        <v>2.6</v>
      </c>
      <c r="I105" s="139">
        <f t="array" ref="I105">IFERROR(INDEX('Sensitivity Setup'!$D$7:$O$171,MATCH($E105&amp;"Low",'Sensitivity Setup'!$E$7:$E$171&amp;'Sensitivity Setup'!$F$7:$F$171,0),MATCH($I$89,'Sensitivity Setup'!$D$7:$O$7,0)),"")</f>
        <v>75.902749999999997</v>
      </c>
      <c r="J105" s="139">
        <f t="array" ref="J105">IFERROR(INDEX('Sensitivity Setup'!$D$7:$O$171,MATCH($E105&amp;"High",'Sensitivity Setup'!$E$7:$E$171&amp;'Sensitivity Setup'!$F$7:$F$171,0),MATCH($I$89,'Sensitivity Setup'!$D$7:$O$7,0)),"")</f>
        <v>82.640249999999995</v>
      </c>
      <c r="K105" s="139">
        <f t="array" ref="K105">IFERROR(INDEX('Sensitivity Setup'!$D$7:$O$171,MATCH($E105&amp;"Low",'Sensitivity Setup'!$E$7:$E$171&amp;'Sensitivity Setup'!$F$7:$F$171,0),MATCH($K$89,'Sensitivity Setup'!$D$7:$O$7,0)),"")</f>
        <v>17.0625</v>
      </c>
      <c r="L105" s="139">
        <f t="array" ref="L105">IFERROR(INDEX('Sensitivity Setup'!$D$7:$O$171,MATCH($E105&amp;"High",'Sensitivity Setup'!$E$7:$E$171&amp;'Sensitivity Setup'!$F$7:$F$171,0),MATCH($K$89,'Sensitivity Setup'!$D$7:$O$7,0)),"")</f>
        <v>17.0625</v>
      </c>
      <c r="M105" s="139">
        <f t="array" ref="M105">IFERROR(INDEX('Sensitivity Setup'!$D$7:$O$171,MATCH($E105&amp;"Low",'Sensitivity Setup'!$E$7:$E$171&amp;'Sensitivity Setup'!$F$7:$F$171,0),MATCH($M$89,'Sensitivity Setup'!$D$7:$O$7,0)),"")</f>
        <v>40.833333333333336</v>
      </c>
      <c r="N105" s="139">
        <f t="array" ref="N105">IFERROR(INDEX('Sensitivity Setup'!$D$7:$O$171,MATCH($E105&amp;"High",'Sensitivity Setup'!$E$7:$E$171&amp;'Sensitivity Setup'!$F$7:$F$171,0),MATCH($M$89,'Sensitivity Setup'!$D$7:$O$7,0)),"")</f>
        <v>46.958333333333329</v>
      </c>
      <c r="O105" s="144">
        <f t="array" ref="O105">IFERROR(INDEX('Sensitivity Setup'!$D$7:$O$171,MATCH($E105&amp;"Low",'Sensitivity Setup'!$E$7:$E$171&amp;'Sensitivity Setup'!$F$7:$F$171,0),MATCH($O$89,'Sensitivity Setup'!$D$7:$O$7,0)),"")</f>
        <v>7414.7333333333336</v>
      </c>
      <c r="P105" s="144">
        <f t="array" ref="P105">IFERROR(INDEX('Sensitivity Setup'!$D$7:$O$171,MATCH($E105&amp;"High",'Sensitivity Setup'!$E$7:$E$171&amp;'Sensitivity Setup'!$F$7:$F$171,0),MATCH($O$89,'Sensitivity Setup'!$D$7:$O$7,0)),"")</f>
        <v>8044.7333333333336</v>
      </c>
      <c r="R105" s="1"/>
    </row>
    <row r="106" spans="1:18" s="60" customFormat="1">
      <c r="A106" s="58"/>
      <c r="B106" s="5"/>
      <c r="C106" s="59"/>
      <c r="D106" s="61"/>
      <c r="E106" s="137" t="str">
        <f>'Sensitivity Setup'!$E$48</f>
        <v>Minutes spent on each follow-up call +/- 30%</v>
      </c>
      <c r="F106" s="149">
        <f t="array" ref="F106">IFERROR(INDEX('Sensitivity Setup'!$D$7:$O$171,MATCH($E106&amp;"Low",'Sensitivity Setup'!$E$7:$E$171&amp;'Sensitivity Setup'!$F$7:$F$171,0),MATCH("Base-case (value)",'Sensitivity Setup'!$D$7:$O$7,0)),"")</f>
        <v>10</v>
      </c>
      <c r="G106" s="149">
        <f t="array" ref="G106">IFERROR(INDEX('Sensitivity Setup'!$D$7:$O$171,MATCH($E106&amp;"Low",'Sensitivity Setup'!$E$7:$E$171&amp;'Sensitivity Setup'!$F$7:$F$171,0),MATCH("Input SA value",'Sensitivity Setup'!$D$7:$O$7,0)),"")</f>
        <v>7</v>
      </c>
      <c r="H106" s="149">
        <f t="array" ref="H106">IFERROR(INDEX('Sensitivity Setup'!$D$7:$O$171,MATCH($E106&amp;"High",'Sensitivity Setup'!$E$7:$E$171&amp;'Sensitivity Setup'!$F$7:$F$171,0),MATCH("Input SA value",'Sensitivity Setup'!$D$7:$O$7,0)),"")</f>
        <v>13</v>
      </c>
      <c r="I106" s="139">
        <f t="array" ref="I106">IFERROR(INDEX('Sensitivity Setup'!$D$7:$O$171,MATCH($E106&amp;"Low",'Sensitivity Setup'!$E$7:$E$171&amp;'Sensitivity Setup'!$F$7:$F$171,0),MATCH($I$89,'Sensitivity Setup'!$D$7:$O$7,0)),"")</f>
        <v>75.902749999999997</v>
      </c>
      <c r="J106" s="139">
        <f t="array" ref="J106">IFERROR(INDEX('Sensitivity Setup'!$D$7:$O$171,MATCH($E106&amp;"High",'Sensitivity Setup'!$E$7:$E$171&amp;'Sensitivity Setup'!$F$7:$F$171,0),MATCH($I$89,'Sensitivity Setup'!$D$7:$O$7,0)),"")</f>
        <v>82.640249999999995</v>
      </c>
      <c r="K106" s="139">
        <f t="array" ref="K106">IFERROR(INDEX('Sensitivity Setup'!$D$7:$O$171,MATCH($E106&amp;"Low",'Sensitivity Setup'!$E$7:$E$171&amp;'Sensitivity Setup'!$F$7:$F$171,0),MATCH($K$89,'Sensitivity Setup'!$D$7:$O$7,0)),"")</f>
        <v>17.0625</v>
      </c>
      <c r="L106" s="139">
        <f t="array" ref="L106">IFERROR(INDEX('Sensitivity Setup'!$D$7:$O$171,MATCH($E106&amp;"High",'Sensitivity Setup'!$E$7:$E$171&amp;'Sensitivity Setup'!$F$7:$F$171,0),MATCH($K$89,'Sensitivity Setup'!$D$7:$O$7,0)),"")</f>
        <v>17.0625</v>
      </c>
      <c r="M106" s="139">
        <f t="array" ref="M106">IFERROR(INDEX('Sensitivity Setup'!$D$7:$O$171,MATCH($E106&amp;"Low",'Sensitivity Setup'!$E$7:$E$171&amp;'Sensitivity Setup'!$F$7:$F$171,0),MATCH($M$89,'Sensitivity Setup'!$D$7:$O$7,0)),"")</f>
        <v>40.833333333333336</v>
      </c>
      <c r="N106" s="139">
        <f t="array" ref="N106">IFERROR(INDEX('Sensitivity Setup'!$D$7:$O$171,MATCH($E106&amp;"High",'Sensitivity Setup'!$E$7:$E$171&amp;'Sensitivity Setup'!$F$7:$F$171,0),MATCH($M$89,'Sensitivity Setup'!$D$7:$O$7,0)),"")</f>
        <v>46.958333333333329</v>
      </c>
      <c r="O106" s="144">
        <f t="array" ref="O106">IFERROR(INDEX('Sensitivity Setup'!$D$7:$O$171,MATCH($E106&amp;"Low",'Sensitivity Setup'!$E$7:$E$171&amp;'Sensitivity Setup'!$F$7:$F$171,0),MATCH($O$89,'Sensitivity Setup'!$D$7:$O$7,0)),"")</f>
        <v>7414.7333333333336</v>
      </c>
      <c r="P106" s="144">
        <f t="array" ref="P106">IFERROR(INDEX('Sensitivity Setup'!$D$7:$O$171,MATCH($E106&amp;"High",'Sensitivity Setup'!$E$7:$E$171&amp;'Sensitivity Setup'!$F$7:$F$171,0),MATCH($O$89,'Sensitivity Setup'!$D$7:$O$7,0)),"")</f>
        <v>8044.7333333333336</v>
      </c>
      <c r="R106" s="1"/>
    </row>
    <row r="107" spans="1:18" s="60" customFormat="1">
      <c r="A107" s="58"/>
      <c r="B107" s="5"/>
      <c r="C107" s="59"/>
      <c r="D107" s="61"/>
      <c r="E107" s="137" t="str">
        <f>'Sensitivity Setup'!$E$52</f>
        <v>Number of follow-up text messages +/- 30%</v>
      </c>
      <c r="F107" s="149">
        <f t="array" ref="F107">IFERROR(INDEX('Sensitivity Setup'!$D$7:$O$171,MATCH($E107&amp;"Low",'Sensitivity Setup'!$E$7:$E$171&amp;'Sensitivity Setup'!$F$7:$F$171,0),MATCH("Base-case (value)",'Sensitivity Setup'!$D$7:$O$7,0)),"")</f>
        <v>1</v>
      </c>
      <c r="G107" s="149">
        <f t="array" ref="G107">IFERROR(INDEX('Sensitivity Setup'!$D$7:$O$171,MATCH($E107&amp;"Low",'Sensitivity Setup'!$E$7:$E$171&amp;'Sensitivity Setup'!$F$7:$F$171,0),MATCH("Input SA value",'Sensitivity Setup'!$D$7:$O$7,0)),"")</f>
        <v>0.7</v>
      </c>
      <c r="H107" s="149">
        <f t="array" ref="H107">IFERROR(INDEX('Sensitivity Setup'!$D$7:$O$171,MATCH($E107&amp;"High",'Sensitivity Setup'!$E$7:$E$171&amp;'Sensitivity Setup'!$F$7:$F$171,0),MATCH("Input SA value",'Sensitivity Setup'!$D$7:$O$7,0)),"")</f>
        <v>1.3</v>
      </c>
      <c r="I107" s="139">
        <f t="array" ref="I107">IFERROR(INDEX('Sensitivity Setup'!$D$7:$O$171,MATCH($E107&amp;"Low",'Sensitivity Setup'!$E$7:$E$171&amp;'Sensitivity Setup'!$F$7:$F$171,0),MATCH($I$89,'Sensitivity Setup'!$D$7:$O$7,0)),"")</f>
        <v>79.103062500000007</v>
      </c>
      <c r="J107" s="139">
        <f t="array" ref="J107">IFERROR(INDEX('Sensitivity Setup'!$D$7:$O$171,MATCH($E107&amp;"High",'Sensitivity Setup'!$E$7:$E$171&amp;'Sensitivity Setup'!$F$7:$F$171,0),MATCH($I$89,'Sensitivity Setup'!$D$7:$O$7,0)),"")</f>
        <v>79.439937499999999</v>
      </c>
      <c r="K107" s="139">
        <f t="array" ref="K107">IFERROR(INDEX('Sensitivity Setup'!$D$7:$O$171,MATCH($E107&amp;"Low",'Sensitivity Setup'!$E$7:$E$171&amp;'Sensitivity Setup'!$F$7:$F$171,0),MATCH($K$89,'Sensitivity Setup'!$D$7:$O$7,0)),"")</f>
        <v>17.0625</v>
      </c>
      <c r="L107" s="139">
        <f t="array" ref="L107">IFERROR(INDEX('Sensitivity Setup'!$D$7:$O$171,MATCH($E107&amp;"High",'Sensitivity Setup'!$E$7:$E$171&amp;'Sensitivity Setup'!$F$7:$F$171,0),MATCH($K$89,'Sensitivity Setup'!$D$7:$O$7,0)),"")</f>
        <v>17.0625</v>
      </c>
      <c r="M107" s="139">
        <f t="array" ref="M107">IFERROR(INDEX('Sensitivity Setup'!$D$7:$O$171,MATCH($E107&amp;"Low",'Sensitivity Setup'!$E$7:$E$171&amp;'Sensitivity Setup'!$F$7:$F$171,0),MATCH($M$89,'Sensitivity Setup'!$D$7:$O$7,0)),"")</f>
        <v>43.74270833333334</v>
      </c>
      <c r="N107" s="139">
        <f t="array" ref="N107">IFERROR(INDEX('Sensitivity Setup'!$D$7:$O$171,MATCH($E107&amp;"High",'Sensitivity Setup'!$E$7:$E$171&amp;'Sensitivity Setup'!$F$7:$F$171,0),MATCH($M$89,'Sensitivity Setup'!$D$7:$O$7,0)),"")</f>
        <v>44.048958333333339</v>
      </c>
      <c r="O107" s="144">
        <f t="array" ref="O107">IFERROR(INDEX('Sensitivity Setup'!$D$7:$O$171,MATCH($E107&amp;"Low",'Sensitivity Setup'!$E$7:$E$171&amp;'Sensitivity Setup'!$F$7:$F$171,0),MATCH($O$89,'Sensitivity Setup'!$D$7:$O$7,0)),"")</f>
        <v>7713.9833333333345</v>
      </c>
      <c r="P107" s="144">
        <f t="array" ref="P107">IFERROR(INDEX('Sensitivity Setup'!$D$7:$O$171,MATCH($E107&amp;"High",'Sensitivity Setup'!$E$7:$E$171&amp;'Sensitivity Setup'!$F$7:$F$171,0),MATCH($O$89,'Sensitivity Setup'!$D$7:$O$7,0)),"")</f>
        <v>7745.4833333333336</v>
      </c>
      <c r="R107" s="1"/>
    </row>
    <row r="108" spans="1:18" s="60" customFormat="1">
      <c r="A108" s="58"/>
      <c r="B108" s="5"/>
      <c r="C108" s="59"/>
      <c r="D108" s="61"/>
      <c r="E108" s="137" t="str">
        <f>'Sensitivity Setup'!$E$56</f>
        <v>Minutes spent on each follow-up text message +/- 30%</v>
      </c>
      <c r="F108" s="149">
        <f t="array" ref="F108">IFERROR(INDEX('Sensitivity Setup'!$D$7:$O$171,MATCH($E108&amp;"Low",'Sensitivity Setup'!$E$7:$E$171&amp;'Sensitivity Setup'!$F$7:$F$171,0),MATCH("Base-case (value)",'Sensitivity Setup'!$D$7:$O$7,0)),"")</f>
        <v>1</v>
      </c>
      <c r="G108" s="149">
        <f t="array" ref="G108">IFERROR(INDEX('Sensitivity Setup'!$D$7:$O$171,MATCH($E108&amp;"Low",'Sensitivity Setup'!$E$7:$E$171&amp;'Sensitivity Setup'!$F$7:$F$171,0),MATCH("Input SA value",'Sensitivity Setup'!$D$7:$O$7,0)),"")</f>
        <v>0.7</v>
      </c>
      <c r="H108" s="149">
        <f t="array" ref="H108">IFERROR(INDEX('Sensitivity Setup'!$D$7:$O$171,MATCH($E108&amp;"High",'Sensitivity Setup'!$E$7:$E$171&amp;'Sensitivity Setup'!$F$7:$F$171,0),MATCH("Input SA value",'Sensitivity Setup'!$D$7:$O$7,0)),"")</f>
        <v>1.3</v>
      </c>
      <c r="I108" s="139">
        <f t="array" ref="I108">IFERROR(INDEX('Sensitivity Setup'!$D$7:$O$171,MATCH($E108&amp;"Low",'Sensitivity Setup'!$E$7:$E$171&amp;'Sensitivity Setup'!$F$7:$F$171,0),MATCH($I$89,'Sensitivity Setup'!$D$7:$O$7,0)),"")</f>
        <v>79.103062500000007</v>
      </c>
      <c r="J108" s="139">
        <f t="array" ref="J108">IFERROR(INDEX('Sensitivity Setup'!$D$7:$O$171,MATCH($E108&amp;"High",'Sensitivity Setup'!$E$7:$E$171&amp;'Sensitivity Setup'!$F$7:$F$171,0),MATCH($I$89,'Sensitivity Setup'!$D$7:$O$7,0)),"")</f>
        <v>79.439937499999999</v>
      </c>
      <c r="K108" s="139">
        <f t="array" ref="K108">IFERROR(INDEX('Sensitivity Setup'!$D$7:$O$171,MATCH($E108&amp;"Low",'Sensitivity Setup'!$E$7:$E$171&amp;'Sensitivity Setup'!$F$7:$F$171,0),MATCH($K$89,'Sensitivity Setup'!$D$7:$O$7,0)),"")</f>
        <v>17.0625</v>
      </c>
      <c r="L108" s="139">
        <f t="array" ref="L108">IFERROR(INDEX('Sensitivity Setup'!$D$7:$O$171,MATCH($E108&amp;"High",'Sensitivity Setup'!$E$7:$E$171&amp;'Sensitivity Setup'!$F$7:$F$171,0),MATCH($K$89,'Sensitivity Setup'!$D$7:$O$7,0)),"")</f>
        <v>17.0625</v>
      </c>
      <c r="M108" s="139">
        <f t="array" ref="M108">IFERROR(INDEX('Sensitivity Setup'!$D$7:$O$171,MATCH($E108&amp;"Low",'Sensitivity Setup'!$E$7:$E$171&amp;'Sensitivity Setup'!$F$7:$F$171,0),MATCH($M$89,'Sensitivity Setup'!$D$7:$O$7,0)),"")</f>
        <v>43.74270833333334</v>
      </c>
      <c r="N108" s="139">
        <f t="array" ref="N108">IFERROR(INDEX('Sensitivity Setup'!$D$7:$O$171,MATCH($E108&amp;"High",'Sensitivity Setup'!$E$7:$E$171&amp;'Sensitivity Setup'!$F$7:$F$171,0),MATCH($M$89,'Sensitivity Setup'!$D$7:$O$7,0)),"")</f>
        <v>44.048958333333339</v>
      </c>
      <c r="O108" s="144">
        <f t="array" ref="O108">IFERROR(INDEX('Sensitivity Setup'!$D$7:$O$171,MATCH($E108&amp;"Low",'Sensitivity Setup'!$E$7:$E$171&amp;'Sensitivity Setup'!$F$7:$F$171,0),MATCH($O$89,'Sensitivity Setup'!$D$7:$O$7,0)),"")</f>
        <v>7713.9833333333345</v>
      </c>
      <c r="P108" s="144">
        <f t="array" ref="P108">IFERROR(INDEX('Sensitivity Setup'!$D$7:$O$171,MATCH($E108&amp;"High",'Sensitivity Setup'!$E$7:$E$171&amp;'Sensitivity Setup'!$F$7:$F$171,0),MATCH($O$89,'Sensitivity Setup'!$D$7:$O$7,0)),"")</f>
        <v>7745.4833333333336</v>
      </c>
      <c r="R108" s="1"/>
    </row>
    <row r="109" spans="1:18" s="60" customFormat="1">
      <c r="A109" s="58"/>
      <c r="B109" s="5"/>
      <c r="C109" s="59"/>
      <c r="D109" s="61"/>
      <c r="E109" s="76" t="s">
        <v>102</v>
      </c>
      <c r="F109" s="140" t="str">
        <f t="array" ref="F109">IFERROR(INDEX('Sensitivity Setup'!$D$7:$O$171,MATCH($E109&amp;"Low",'Sensitivity Setup'!$E$7:$E$171&amp;'Sensitivity Setup'!$F$7:$F$171,0),MATCH("Base-case (value)",'Sensitivity Setup'!$D$7:$O$7,0)),"")</f>
        <v/>
      </c>
      <c r="G109" s="140" t="str">
        <f t="array" ref="G109">IFERROR(INDEX('Sensitivity Setup'!$D$7:$O$171,MATCH($E109&amp;"Low",'Sensitivity Setup'!$E$7:$E$171&amp;'Sensitivity Setup'!$F$7:$F$171,0),MATCH("Input SA value",'Sensitivity Setup'!$D$7:$O$7,0)),"")</f>
        <v/>
      </c>
      <c r="H109" s="140" t="str">
        <f t="array" ref="H109">IFERROR(INDEX('Sensitivity Setup'!$D$7:$O$171,MATCH($E109&amp;"High",'Sensitivity Setup'!$E$7:$E$171&amp;'Sensitivity Setup'!$F$7:$F$171,0),MATCH("Input SA value",'Sensitivity Setup'!$D$7:$O$7,0)),"")</f>
        <v/>
      </c>
      <c r="I109" s="140" t="str">
        <f t="array" ref="I109">IFERROR(INDEX('Sensitivity Setup'!$D$7:$O$171,MATCH($E109&amp;"Low",'Sensitivity Setup'!$E$7:$E$171&amp;'Sensitivity Setup'!$F$7:$F$171,0),MATCH($I$89,'Sensitivity Setup'!$D$7:$O$7,0)),"")</f>
        <v/>
      </c>
      <c r="J109" s="140" t="str">
        <f t="array" ref="J109">IFERROR(INDEX('Sensitivity Setup'!$D$7:$O$171,MATCH($E109&amp;"High",'Sensitivity Setup'!$E$7:$E$171&amp;'Sensitivity Setup'!$F$7:$F$171,0),MATCH($I$89,'Sensitivity Setup'!$D$7:$O$7,0)),"")</f>
        <v/>
      </c>
      <c r="K109" s="140" t="str">
        <f t="array" ref="K109">IFERROR(INDEX('Sensitivity Setup'!$D$7:$O$171,MATCH($E109&amp;"Low",'Sensitivity Setup'!$E$7:$E$171&amp;'Sensitivity Setup'!$F$7:$F$171,0),MATCH($K$89,'Sensitivity Setup'!$D$7:$O$7,0)),"")</f>
        <v/>
      </c>
      <c r="L109" s="140" t="str">
        <f t="array" ref="L109">IFERROR(INDEX('Sensitivity Setup'!$D$7:$O$171,MATCH($E109&amp;"High",'Sensitivity Setup'!$E$7:$E$171&amp;'Sensitivity Setup'!$F$7:$F$171,0),MATCH($K$89,'Sensitivity Setup'!$D$7:$O$7,0)),"")</f>
        <v/>
      </c>
      <c r="M109" s="140" t="str">
        <f t="array" ref="M109">IFERROR(INDEX('Sensitivity Setup'!$D$7:$O$171,MATCH($E109&amp;"Low",'Sensitivity Setup'!$E$7:$E$171&amp;'Sensitivity Setup'!$F$7:$F$171,0),MATCH($M$89,'Sensitivity Setup'!$D$7:$O$7,0)),"")</f>
        <v/>
      </c>
      <c r="N109" s="140" t="str">
        <f t="array" ref="N109">IFERROR(INDEX('Sensitivity Setup'!$D$7:$O$171,MATCH($E109&amp;"High",'Sensitivity Setup'!$E$7:$E$171&amp;'Sensitivity Setup'!$F$7:$F$171,0),MATCH($M$89,'Sensitivity Setup'!$D$7:$O$7,0)),"")</f>
        <v/>
      </c>
      <c r="O109" s="145" t="str">
        <f t="array" ref="O109">IFERROR(INDEX('Sensitivity Setup'!$D$7:$O$171,MATCH($E109&amp;"Low",'Sensitivity Setup'!$E$7:$E$171&amp;'Sensitivity Setup'!$F$7:$F$171,0),MATCH($O$89,'Sensitivity Setup'!$D$7:$O$7,0)),"")</f>
        <v/>
      </c>
      <c r="P109" s="145" t="str">
        <f t="array" ref="P109">IFERROR(INDEX('Sensitivity Setup'!$D$7:$O$171,MATCH($E109&amp;"High",'Sensitivity Setup'!$E$7:$E$171&amp;'Sensitivity Setup'!$F$7:$F$171,0),MATCH($O$89,'Sensitivity Setup'!$D$7:$O$7,0)),"")</f>
        <v/>
      </c>
      <c r="R109" s="1"/>
    </row>
    <row r="110" spans="1:18" s="60" customFormat="1">
      <c r="A110" s="58"/>
      <c r="B110" s="5"/>
      <c r="C110" s="59"/>
      <c r="D110" s="61"/>
      <c r="E110" s="137" t="str">
        <f>'Sensitivity Setup'!$E$60</f>
        <v>Proportion of cases requesting coodinators +/- 30%</v>
      </c>
      <c r="F110" s="149">
        <f t="array" ref="F110">IFERROR(INDEX('Sensitivity Setup'!$D$7:$O$171,MATCH($E110&amp;"Low",'Sensitivity Setup'!$E$7:$E$171&amp;'Sensitivity Setup'!$F$7:$F$171,0),MATCH("Base-case (value)",'Sensitivity Setup'!$D$7:$O$7,0)),"")</f>
        <v>0.09</v>
      </c>
      <c r="G110" s="149">
        <f t="array" ref="G110">IFERROR(INDEX('Sensitivity Setup'!$D$7:$O$171,MATCH($E110&amp;"Low",'Sensitivity Setup'!$E$7:$E$171&amp;'Sensitivity Setup'!$F$7:$F$171,0),MATCH("Input SA value",'Sensitivity Setup'!$D$7:$O$7,0)),"")</f>
        <v>6.3E-2</v>
      </c>
      <c r="H110" s="149">
        <f t="array" ref="H110">IFERROR(INDEX('Sensitivity Setup'!$D$7:$O$171,MATCH($E110&amp;"High",'Sensitivity Setup'!$E$7:$E$171&amp;'Sensitivity Setup'!$F$7:$F$171,0),MATCH("Input SA value",'Sensitivity Setup'!$D$7:$O$7,0)),"")</f>
        <v>0.11699999999999999</v>
      </c>
      <c r="I110" s="139">
        <f t="array" ref="I110">IFERROR(INDEX('Sensitivity Setup'!$D$7:$O$171,MATCH($E110&amp;"Low",'Sensitivity Setup'!$E$7:$E$171&amp;'Sensitivity Setup'!$F$7:$F$171,0),MATCH($I$89,'Sensitivity Setup'!$D$7:$O$7,0)),"")</f>
        <v>78.301300000000012</v>
      </c>
      <c r="J110" s="139">
        <f t="array" ref="J110">IFERROR(INDEX('Sensitivity Setup'!$D$7:$O$171,MATCH($E110&amp;"High",'Sensitivity Setup'!$E$7:$E$171&amp;'Sensitivity Setup'!$F$7:$F$171,0),MATCH($I$89,'Sensitivity Setup'!$D$7:$O$7,0)),"")</f>
        <v>80.241700000000009</v>
      </c>
      <c r="K110" s="139">
        <f t="array" ref="K110">IFERROR(INDEX('Sensitivity Setup'!$D$7:$O$171,MATCH($E110&amp;"Low",'Sensitivity Setup'!$E$7:$E$171&amp;'Sensitivity Setup'!$F$7:$F$171,0),MATCH($K$89,'Sensitivity Setup'!$D$7:$O$7,0)),"")</f>
        <v>17.0625</v>
      </c>
      <c r="L110" s="139">
        <f t="array" ref="L110">IFERROR(INDEX('Sensitivity Setup'!$D$7:$O$171,MATCH($E110&amp;"High",'Sensitivity Setup'!$E$7:$E$171&amp;'Sensitivity Setup'!$F$7:$F$171,0),MATCH($K$89,'Sensitivity Setup'!$D$7:$O$7,0)),"")</f>
        <v>17.0625</v>
      </c>
      <c r="M110" s="139">
        <f t="array" ref="M110">IFERROR(INDEX('Sensitivity Setup'!$D$7:$O$171,MATCH($E110&amp;"Low",'Sensitivity Setup'!$E$7:$E$171&amp;'Sensitivity Setup'!$F$7:$F$171,0),MATCH($M$89,'Sensitivity Setup'!$D$7:$O$7,0)),"")</f>
        <v>43.895833333333336</v>
      </c>
      <c r="N110" s="139">
        <f t="array" ref="N110">IFERROR(INDEX('Sensitivity Setup'!$D$7:$O$171,MATCH($E110&amp;"High",'Sensitivity Setup'!$E$7:$E$171&amp;'Sensitivity Setup'!$F$7:$F$171,0),MATCH($M$89,'Sensitivity Setup'!$D$7:$O$7,0)),"")</f>
        <v>43.895833333333336</v>
      </c>
      <c r="O110" s="144">
        <f t="array" ref="O110">IFERROR(INDEX('Sensitivity Setup'!$D$7:$O$171,MATCH($E110&amp;"Low",'Sensitivity Setup'!$E$7:$E$171&amp;'Sensitivity Setup'!$F$7:$F$171,0),MATCH($O$89,'Sensitivity Setup'!$D$7:$O$7,0)),"")</f>
        <v>7613.8133333333326</v>
      </c>
      <c r="P110" s="144">
        <f t="array" ref="P110">IFERROR(INDEX('Sensitivity Setup'!$D$7:$O$171,MATCH($E110&amp;"High",'Sensitivity Setup'!$E$7:$E$171&amp;'Sensitivity Setup'!$F$7:$F$171,0),MATCH($O$89,'Sensitivity Setup'!$D$7:$O$7,0)),"")</f>
        <v>7845.6533333333336</v>
      </c>
      <c r="R110" s="1"/>
    </row>
    <row r="111" spans="1:18" s="60" customFormat="1">
      <c r="A111" s="58"/>
      <c r="B111" s="5"/>
      <c r="C111" s="59"/>
      <c r="D111" s="61"/>
      <c r="E111" s="137" t="str">
        <f>'Sensitivity Setup'!$E$64</f>
        <v>Proportion of contacts requesting coordinators +/- 30%</v>
      </c>
      <c r="F111" s="149">
        <f t="array" ref="F111">IFERROR(INDEX('Sensitivity Setup'!$D$7:$O$171,MATCH($E111&amp;"Low",'Sensitivity Setup'!$E$7:$E$171&amp;'Sensitivity Setup'!$F$7:$F$171,0),MATCH("Base-case (value)",'Sensitivity Setup'!$D$7:$O$7,0)),"")</f>
        <v>0.1</v>
      </c>
      <c r="G111" s="149">
        <f t="array" ref="G111">IFERROR(INDEX('Sensitivity Setup'!$D$7:$O$171,MATCH($E111&amp;"Low",'Sensitivity Setup'!$E$7:$E$171&amp;'Sensitivity Setup'!$F$7:$F$171,0),MATCH("Input SA value",'Sensitivity Setup'!$D$7:$O$7,0)),"")</f>
        <v>7.0000000000000007E-2</v>
      </c>
      <c r="H111" s="149">
        <f t="array" ref="H111">IFERROR(INDEX('Sensitivity Setup'!$D$7:$O$171,MATCH($E111&amp;"High",'Sensitivity Setup'!$E$7:$E$171&amp;'Sensitivity Setup'!$F$7:$F$171,0),MATCH("Input SA value",'Sensitivity Setup'!$D$7:$O$7,0)),"")</f>
        <v>0.13</v>
      </c>
      <c r="I111" s="139">
        <f t="array" ref="I111">IFERROR(INDEX('Sensitivity Setup'!$D$7:$O$171,MATCH($E111&amp;"Low",'Sensitivity Setup'!$E$7:$E$171&amp;'Sensitivity Setup'!$F$7:$F$171,0),MATCH($I$89,'Sensitivity Setup'!$D$7:$O$7,0)),"")</f>
        <v>76.57650000000001</v>
      </c>
      <c r="J111" s="139">
        <f t="array" ref="J111">IFERROR(INDEX('Sensitivity Setup'!$D$7:$O$171,MATCH($E111&amp;"High",'Sensitivity Setup'!$E$7:$E$171&amp;'Sensitivity Setup'!$F$7:$F$171,0),MATCH($I$89,'Sensitivity Setup'!$D$7:$O$7,0)),"")</f>
        <v>81.966499999999996</v>
      </c>
      <c r="K111" s="139">
        <f t="array" ref="K111">IFERROR(INDEX('Sensitivity Setup'!$D$7:$O$171,MATCH($E111&amp;"Low",'Sensitivity Setup'!$E$7:$E$171&amp;'Sensitivity Setup'!$F$7:$F$171,0),MATCH($K$89,'Sensitivity Setup'!$D$7:$O$7,0)),"")</f>
        <v>17.0625</v>
      </c>
      <c r="L111" s="139">
        <f t="array" ref="L111">IFERROR(INDEX('Sensitivity Setup'!$D$7:$O$171,MATCH($E111&amp;"High",'Sensitivity Setup'!$E$7:$E$171&amp;'Sensitivity Setup'!$F$7:$F$171,0),MATCH($K$89,'Sensitivity Setup'!$D$7:$O$7,0)),"")</f>
        <v>17.0625</v>
      </c>
      <c r="M111" s="139">
        <f t="array" ref="M111">IFERROR(INDEX('Sensitivity Setup'!$D$7:$O$171,MATCH($E111&amp;"Low",'Sensitivity Setup'!$E$7:$E$171&amp;'Sensitivity Setup'!$F$7:$F$171,0),MATCH($M$89,'Sensitivity Setup'!$D$7:$O$7,0)),"")</f>
        <v>43.895833333333336</v>
      </c>
      <c r="N111" s="139">
        <f t="array" ref="N111">IFERROR(INDEX('Sensitivity Setup'!$D$7:$O$171,MATCH($E111&amp;"High",'Sensitivity Setup'!$E$7:$E$171&amp;'Sensitivity Setup'!$F$7:$F$171,0),MATCH($M$89,'Sensitivity Setup'!$D$7:$O$7,0)),"")</f>
        <v>43.895833333333336</v>
      </c>
      <c r="O111" s="144">
        <f t="array" ref="O111">IFERROR(INDEX('Sensitivity Setup'!$D$7:$O$171,MATCH($E111&amp;"Low",'Sensitivity Setup'!$E$7:$E$171&amp;'Sensitivity Setup'!$F$7:$F$171,0),MATCH($O$89,'Sensitivity Setup'!$D$7:$O$7,0)),"")</f>
        <v>7407.7333333333336</v>
      </c>
      <c r="P111" s="144">
        <f t="array" ref="P111">IFERROR(INDEX('Sensitivity Setup'!$D$7:$O$171,MATCH($E111&amp;"High",'Sensitivity Setup'!$E$7:$E$171&amp;'Sensitivity Setup'!$F$7:$F$171,0),MATCH($O$89,'Sensitivity Setup'!$D$7:$O$7,0)),"")</f>
        <v>8051.7333333333336</v>
      </c>
      <c r="R111" s="1"/>
    </row>
    <row r="112" spans="1:18" s="60" customFormat="1">
      <c r="A112" s="58"/>
      <c r="B112" s="5"/>
      <c r="C112" s="59"/>
      <c r="D112" s="61"/>
      <c r="E112" s="137" t="str">
        <f>'Sensitivity Setup'!$E$68</f>
        <v>Number of cases per resource coordinator per day  +/- 30%</v>
      </c>
      <c r="F112" s="149">
        <f t="array" ref="F112">IFERROR(INDEX('Sensitivity Setup'!$D$7:$O$171,MATCH($E112&amp;"Low",'Sensitivity Setup'!$E$7:$E$171&amp;'Sensitivity Setup'!$F$7:$F$171,0),MATCH("Base-case (value)",'Sensitivity Setup'!$D$7:$O$7,0)),"")</f>
        <v>3</v>
      </c>
      <c r="G112" s="149">
        <f t="array" ref="G112">IFERROR(INDEX('Sensitivity Setup'!$D$7:$O$171,MATCH($E112&amp;"Low",'Sensitivity Setup'!$E$7:$E$171&amp;'Sensitivity Setup'!$F$7:$F$171,0),MATCH("Input SA value",'Sensitivity Setup'!$D$7:$O$7,0)),"")</f>
        <v>2.1</v>
      </c>
      <c r="H112" s="149">
        <f t="array" ref="H112">IFERROR(INDEX('Sensitivity Setup'!$D$7:$O$171,MATCH($E112&amp;"High",'Sensitivity Setup'!$E$7:$E$171&amp;'Sensitivity Setup'!$F$7:$F$171,0),MATCH("Input SA value",'Sensitivity Setup'!$D$7:$O$7,0)),"")</f>
        <v>3.9</v>
      </c>
      <c r="I112" s="139">
        <f t="array" ref="I112">IFERROR(INDEX('Sensitivity Setup'!$D$7:$O$171,MATCH($E112&amp;"Low",'Sensitivity Setup'!$E$7:$E$171&amp;'Sensitivity Setup'!$F$7:$F$171,0),MATCH($I$89,'Sensitivity Setup'!$D$7:$O$7,0)),"")</f>
        <v>84.507500000000007</v>
      </c>
      <c r="J112" s="139">
        <f t="array" ref="J112">IFERROR(INDEX('Sensitivity Setup'!$D$7:$O$171,MATCH($E112&amp;"High",'Sensitivity Setup'!$E$7:$E$171&amp;'Sensitivity Setup'!$F$7:$F$171,0),MATCH($I$89,'Sensitivity Setup'!$D$7:$O$7,0)),"")</f>
        <v>76.452115384615382</v>
      </c>
      <c r="K112" s="139">
        <f t="array" ref="K112">IFERROR(INDEX('Sensitivity Setup'!$D$7:$O$171,MATCH($E112&amp;"Low",'Sensitivity Setup'!$E$7:$E$171&amp;'Sensitivity Setup'!$F$7:$F$171,0),MATCH($K$89,'Sensitivity Setup'!$D$7:$O$7,0)),"")</f>
        <v>17.0625</v>
      </c>
      <c r="L112" s="139">
        <f t="array" ref="L112">IFERROR(INDEX('Sensitivity Setup'!$D$7:$O$171,MATCH($E112&amp;"High",'Sensitivity Setup'!$E$7:$E$171&amp;'Sensitivity Setup'!$F$7:$F$171,0),MATCH($K$89,'Sensitivity Setup'!$D$7:$O$7,0)),"")</f>
        <v>17.0625</v>
      </c>
      <c r="M112" s="139">
        <f t="array" ref="M112">IFERROR(INDEX('Sensitivity Setup'!$D$7:$O$171,MATCH($E112&amp;"Low",'Sensitivity Setup'!$E$7:$E$171&amp;'Sensitivity Setup'!$F$7:$F$171,0),MATCH($M$89,'Sensitivity Setup'!$D$7:$O$7,0)),"")</f>
        <v>43.895833333333336</v>
      </c>
      <c r="N112" s="139">
        <f t="array" ref="N112">IFERROR(INDEX('Sensitivity Setup'!$D$7:$O$171,MATCH($E112&amp;"High",'Sensitivity Setup'!$E$7:$E$171&amp;'Sensitivity Setup'!$F$7:$F$171,0),MATCH($M$89,'Sensitivity Setup'!$D$7:$O$7,0)),"")</f>
        <v>43.895833333333336</v>
      </c>
      <c r="O112" s="144">
        <f t="array" ref="O112">IFERROR(INDEX('Sensitivity Setup'!$D$7:$O$171,MATCH($E112&amp;"Low",'Sensitivity Setup'!$E$7:$E$171&amp;'Sensitivity Setup'!$F$7:$F$171,0),MATCH($O$89,'Sensitivity Setup'!$D$7:$O$7,0)),"")</f>
        <v>8355.3333333333339</v>
      </c>
      <c r="P112" s="144">
        <f t="array" ref="P112">IFERROR(INDEX('Sensitivity Setup'!$D$7:$O$171,MATCH($E112&amp;"High",'Sensitivity Setup'!$E$7:$E$171&amp;'Sensitivity Setup'!$F$7:$F$171,0),MATCH($O$89,'Sensitivity Setup'!$D$7:$O$7,0)),"")</f>
        <v>7392.871794871794</v>
      </c>
      <c r="R112" s="1"/>
    </row>
    <row r="113" spans="1:18" s="60" customFormat="1">
      <c r="A113" s="58"/>
      <c r="B113" s="5"/>
      <c r="C113" s="59"/>
      <c r="D113" s="61"/>
      <c r="E113" s="76" t="s">
        <v>153</v>
      </c>
      <c r="F113" s="140" t="str">
        <f t="array" ref="F113">IFERROR(INDEX('Sensitivity Setup'!$D$7:$O$171,MATCH($E113&amp;"Low",'Sensitivity Setup'!$E$7:$E$171&amp;'Sensitivity Setup'!$F$7:$F$171,0),MATCH("Base-case (value)",'Sensitivity Setup'!$D$7:$O$7,0)),"")</f>
        <v/>
      </c>
      <c r="G113" s="140" t="str">
        <f t="array" ref="G113">IFERROR(INDEX('Sensitivity Setup'!$D$7:$O$171,MATCH($E113&amp;"Low",'Sensitivity Setup'!$E$7:$E$171&amp;'Sensitivity Setup'!$F$7:$F$171,0),MATCH("Input SA value",'Sensitivity Setup'!$D$7:$O$7,0)),"")</f>
        <v/>
      </c>
      <c r="H113" s="140" t="str">
        <f t="array" ref="H113">IFERROR(INDEX('Sensitivity Setup'!$D$7:$O$171,MATCH($E113&amp;"High",'Sensitivity Setup'!$E$7:$E$171&amp;'Sensitivity Setup'!$F$7:$F$171,0),MATCH("Input SA value",'Sensitivity Setup'!$D$7:$O$7,0)),"")</f>
        <v/>
      </c>
      <c r="I113" s="140" t="str">
        <f t="array" ref="I113">IFERROR(INDEX('Sensitivity Setup'!$D$7:$O$171,MATCH($E113&amp;"Low",'Sensitivity Setup'!$E$7:$E$171&amp;'Sensitivity Setup'!$F$7:$F$171,0),MATCH($I$89,'Sensitivity Setup'!$D$7:$O$7,0)),"")</f>
        <v/>
      </c>
      <c r="J113" s="140" t="str">
        <f t="array" ref="J113">IFERROR(INDEX('Sensitivity Setup'!$D$7:$O$171,MATCH($E113&amp;"Low",'Sensitivity Setup'!$E$7:$E$171&amp;'Sensitivity Setup'!$F$7:$F$171,0),MATCH($I$89,'Sensitivity Setup'!$D$7:$O$7,0)),"")</f>
        <v/>
      </c>
      <c r="K113" s="140" t="str">
        <f t="array" ref="K113">IFERROR(INDEX('Sensitivity Setup'!$D$7:$O$171,MATCH($E113&amp;"Low",'Sensitivity Setup'!$E$7:$E$171&amp;'Sensitivity Setup'!$F$7:$F$171,0),MATCH($K$89,'Sensitivity Setup'!$D$7:$O$7,0)),"")</f>
        <v/>
      </c>
      <c r="L113" s="140" t="str">
        <f t="array" ref="L113">IFERROR(INDEX('Sensitivity Setup'!$D$7:$O$171,MATCH($E113&amp;"Low",'Sensitivity Setup'!$E$7:$E$171&amp;'Sensitivity Setup'!$F$7:$F$171,0),MATCH($K$89,'Sensitivity Setup'!$D$7:$O$7,0)),"")</f>
        <v/>
      </c>
      <c r="M113" s="140" t="str">
        <f t="array" ref="M113">IFERROR(INDEX('Sensitivity Setup'!$D$7:$O$171,MATCH($E113&amp;"Low",'Sensitivity Setup'!$E$7:$E$171&amp;'Sensitivity Setup'!$F$7:$F$171,0),MATCH($M$89,'Sensitivity Setup'!$D$7:$O$7,0)),"")</f>
        <v/>
      </c>
      <c r="N113" s="140" t="str">
        <f t="array" ref="N113">IFERROR(INDEX('Sensitivity Setup'!$D$7:$O$171,MATCH($E113&amp;"Low",'Sensitivity Setup'!$E$7:$E$171&amp;'Sensitivity Setup'!$F$7:$F$171,0),MATCH($M$89,'Sensitivity Setup'!$D$7:$O$7,0)),"")</f>
        <v/>
      </c>
      <c r="O113" s="145" t="str">
        <f t="array" ref="O113">IFERROR(INDEX('Sensitivity Setup'!$D$7:$O$171,MATCH($E113&amp;"Low",'Sensitivity Setup'!$E$7:$E$171&amp;'Sensitivity Setup'!$F$7:$F$171,0),MATCH($O$89,'Sensitivity Setup'!$D$7:$O$7,0)),"")</f>
        <v/>
      </c>
      <c r="P113" s="145" t="str">
        <f t="array" ref="P113">IFERROR(INDEX('Sensitivity Setup'!$D$7:$O$171,MATCH($E113&amp;"Low",'Sensitivity Setup'!$E$7:$E$171&amp;'Sensitivity Setup'!$F$7:$F$171,0),MATCH($O$89,'Sensitivity Setup'!$D$7:$O$7,0)),"")</f>
        <v/>
      </c>
      <c r="R113" s="1"/>
    </row>
    <row r="114" spans="1:18" s="60" customFormat="1">
      <c r="A114" s="58"/>
      <c r="B114" s="5"/>
      <c r="C114" s="59"/>
      <c r="D114" s="61"/>
      <c r="E114" s="137" t="str">
        <f>'Sensitivity Setup'!$E$72</f>
        <v>Productive hours per employee per week +/- 30%</v>
      </c>
      <c r="F114" s="149">
        <f t="array" ref="F114">IFERROR(INDEX('Sensitivity Setup'!$D$7:$O$171,MATCH($E114&amp;"Low",'Sensitivity Setup'!$E$7:$E$171&amp;'Sensitivity Setup'!$F$7:$F$171,0),MATCH("Base-case (value)",'Sensitivity Setup'!$D$7:$O$7,0)),"")</f>
        <v>40</v>
      </c>
      <c r="G114" s="149">
        <f t="array" ref="G114">IFERROR(INDEX('Sensitivity Setup'!$D$7:$O$171,MATCH($E114&amp;"Low",'Sensitivity Setup'!$E$7:$E$171&amp;'Sensitivity Setup'!$F$7:$F$171,0),MATCH("Input SA value",'Sensitivity Setup'!$D$7:$O$7,0)),"")</f>
        <v>28</v>
      </c>
      <c r="H114" s="149">
        <f t="array" ref="H114">IFERROR(INDEX('Sensitivity Setup'!$D$7:$O$171,MATCH($E114&amp;"High",'Sensitivity Setup'!$E$7:$E$171&amp;'Sensitivity Setup'!$F$7:$F$171,0),MATCH("Input SA value",'Sensitivity Setup'!$D$7:$O$7,0)),"")</f>
        <v>52</v>
      </c>
      <c r="I114" s="139">
        <f t="array" ref="I114">IFERROR(INDEX('Sensitivity Setup'!$D$7:$O$171,MATCH($E114&amp;"Low",'Sensitivity Setup'!$E$7:$E$171&amp;'Sensitivity Setup'!$F$7:$F$171,0),MATCH($I$89,'Sensitivity Setup'!$D$7:$O$7,0)),"")</f>
        <v>108.00900000000001</v>
      </c>
      <c r="J114" s="139">
        <f t="array" ref="J114">IFERROR(INDEX('Sensitivity Setup'!$D$7:$O$171,MATCH($E114&amp;"High",'Sensitivity Setup'!$E$7:$E$171&amp;'Sensitivity Setup'!$F$7:$F$171,0),MATCH($I$89,'Sensitivity Setup'!$D$7:$O$7,0)),"")</f>
        <v>63.79746153846154</v>
      </c>
      <c r="K114" s="139">
        <f t="array" ref="K114">IFERROR(INDEX('Sensitivity Setup'!$D$7:$O$171,MATCH($E114&amp;"Low",'Sensitivity Setup'!$E$7:$E$171&amp;'Sensitivity Setup'!$F$7:$F$171,0),MATCH($K$89,'Sensitivity Setup'!$D$7:$O$7,0)),"")</f>
        <v>24.375</v>
      </c>
      <c r="L114" s="139">
        <f t="array" ref="L114">IFERROR(INDEX('Sensitivity Setup'!$D$7:$O$171,MATCH($E114&amp;"High",'Sensitivity Setup'!$E$7:$E$171&amp;'Sensitivity Setup'!$F$7:$F$171,0),MATCH($K$89,'Sensitivity Setup'!$D$7:$O$7,0)),"")</f>
        <v>13.125</v>
      </c>
      <c r="M114" s="139">
        <f t="array" ref="M114">IFERROR(INDEX('Sensitivity Setup'!$D$7:$O$171,MATCH($E114&amp;"Low",'Sensitivity Setup'!$E$7:$E$171&amp;'Sensitivity Setup'!$F$7:$F$171,0),MATCH($M$89,'Sensitivity Setup'!$D$7:$O$7,0)),"")</f>
        <v>62.708333333333336</v>
      </c>
      <c r="N114" s="139">
        <f t="array" ref="N114">IFERROR(INDEX('Sensitivity Setup'!$D$7:$O$171,MATCH($E114&amp;"High",'Sensitivity Setup'!$E$7:$E$171&amp;'Sensitivity Setup'!$F$7:$F$171,0),MATCH($M$89,'Sensitivity Setup'!$D$7:$O$7,0)),"")</f>
        <v>33.766025641025642</v>
      </c>
      <c r="O114" s="144">
        <f t="array" ref="O114">IFERROR(INDEX('Sensitivity Setup'!$D$7:$O$171,MATCH($E114&amp;"Low",'Sensitivity Setup'!$E$7:$E$171&amp;'Sensitivity Setup'!$F$7:$F$171,0),MATCH($O$89,'Sensitivity Setup'!$D$7:$O$7,0)),"")</f>
        <v>7291.8133333333335</v>
      </c>
      <c r="P114" s="144">
        <f t="array" ref="P114">IFERROR(INDEX('Sensitivity Setup'!$D$7:$O$171,MATCH($E114&amp;"High",'Sensitivity Setup'!$E$7:$E$171&amp;'Sensitivity Setup'!$F$7:$F$171,0),MATCH($O$89,'Sensitivity Setup'!$D$7:$O$7,0)),"")</f>
        <v>8167.6533333333336</v>
      </c>
      <c r="R114" s="1"/>
    </row>
    <row r="115" spans="1:18" s="60" customFormat="1">
      <c r="A115" s="58"/>
      <c r="B115" s="5"/>
      <c r="C115" s="59"/>
      <c r="D115" s="61"/>
      <c r="E115" s="137" t="str">
        <f>'Sensitivity Setup'!$E$76</f>
        <v>Number of staff per supervisor/manager +/- 30%</v>
      </c>
      <c r="F115" s="149">
        <f t="array" ref="F115">IFERROR(INDEX('Sensitivity Setup'!$D$7:$O$171,MATCH($E115&amp;"Low",'Sensitivity Setup'!$E$7:$E$171&amp;'Sensitivity Setup'!$F$7:$F$171,0),MATCH("Base-case (value)",'Sensitivity Setup'!$D$7:$O$7,0)),"")</f>
        <v>10</v>
      </c>
      <c r="G115" s="149">
        <f t="array" ref="G115">IFERROR(INDEX('Sensitivity Setup'!$D$7:$O$171,MATCH($E115&amp;"Low",'Sensitivity Setup'!$E$7:$E$171&amp;'Sensitivity Setup'!$F$7:$F$171,0),MATCH("Input SA value",'Sensitivity Setup'!$D$7:$O$7,0)),"")</f>
        <v>7</v>
      </c>
      <c r="H115" s="149">
        <f t="array" ref="H115">IFERROR(INDEX('Sensitivity Setup'!$D$7:$O$171,MATCH($E115&amp;"High",'Sensitivity Setup'!$E$7:$E$171&amp;'Sensitivity Setup'!$F$7:$F$171,0),MATCH("Input SA value",'Sensitivity Setup'!$D$7:$O$7,0)),"")</f>
        <v>13</v>
      </c>
      <c r="I115" s="139">
        <f t="array" ref="I115">IFERROR(INDEX('Sensitivity Setup'!$D$7:$O$171,MATCH($E115&amp;"Low",'Sensitivity Setup'!$E$7:$E$171&amp;'Sensitivity Setup'!$F$7:$F$171,0),MATCH($I$89,'Sensitivity Setup'!$D$7:$O$7,0)),"")</f>
        <v>82.36</v>
      </c>
      <c r="J115" s="139">
        <f t="array" ref="J115">IFERROR(INDEX('Sensitivity Setup'!$D$7:$O$171,MATCH($E115&amp;"High",'Sensitivity Setup'!$E$7:$E$171&amp;'Sensitivity Setup'!$F$7:$F$171,0),MATCH($I$89,'Sensitivity Setup'!$D$7:$O$7,0)),"")</f>
        <v>77.60846153846154</v>
      </c>
      <c r="K115" s="139">
        <f t="array" ref="K115">IFERROR(INDEX('Sensitivity Setup'!$D$7:$O$171,MATCH($E115&amp;"Low",'Sensitivity Setup'!$E$7:$E$171&amp;'Sensitivity Setup'!$F$7:$F$171,0),MATCH($K$89,'Sensitivity Setup'!$D$7:$O$7,0)),"")</f>
        <v>17.0625</v>
      </c>
      <c r="L115" s="139">
        <f t="array" ref="L115">IFERROR(INDEX('Sensitivity Setup'!$D$7:$O$171,MATCH($E115&amp;"High",'Sensitivity Setup'!$E$7:$E$171&amp;'Sensitivity Setup'!$F$7:$F$171,0),MATCH($K$89,'Sensitivity Setup'!$D$7:$O$7,0)),"")</f>
        <v>17.0625</v>
      </c>
      <c r="M115" s="139">
        <f t="array" ref="M115">IFERROR(INDEX('Sensitivity Setup'!$D$7:$O$171,MATCH($E115&amp;"Low",'Sensitivity Setup'!$E$7:$E$171&amp;'Sensitivity Setup'!$F$7:$F$171,0),MATCH($M$89,'Sensitivity Setup'!$D$7:$O$7,0)),"")</f>
        <v>43.895833333333336</v>
      </c>
      <c r="N115" s="139">
        <f t="array" ref="N115">IFERROR(INDEX('Sensitivity Setup'!$D$7:$O$171,MATCH($E115&amp;"High",'Sensitivity Setup'!$E$7:$E$171&amp;'Sensitivity Setup'!$F$7:$F$171,0),MATCH($M$89,'Sensitivity Setup'!$D$7:$O$7,0)),"")</f>
        <v>43.895833333333336</v>
      </c>
      <c r="O115" s="144">
        <f t="array" ref="O115">IFERROR(INDEX('Sensitivity Setup'!$D$7:$O$171,MATCH($E115&amp;"Low",'Sensitivity Setup'!$E$7:$E$171&amp;'Sensitivity Setup'!$F$7:$F$171,0),MATCH($O$89,'Sensitivity Setup'!$D$7:$O$7,0)),"")</f>
        <v>8259.1904761904771</v>
      </c>
      <c r="P115" s="144">
        <f t="array" ref="P115">IFERROR(INDEX('Sensitivity Setup'!$D$7:$O$171,MATCH($E115&amp;"High",'Sensitivity Setup'!$E$7:$E$171&amp;'Sensitivity Setup'!$F$7:$F$171,0),MATCH($O$89,'Sensitivity Setup'!$D$7:$O$7,0)),"")</f>
        <v>7444.6410256410263</v>
      </c>
      <c r="R115" s="1"/>
    </row>
    <row r="116" spans="1:18" s="60" customFormat="1">
      <c r="A116" s="58"/>
      <c r="B116" s="5"/>
      <c r="C116" s="59"/>
      <c r="D116" s="61"/>
      <c r="E116" s="137" t="str">
        <f>'Sensitivity Setup'!$E$80</f>
        <v>Hourly rate - case investigator +/- 30%</v>
      </c>
      <c r="F116" s="149">
        <f t="array" ref="F116">IFERROR(INDEX('Sensitivity Setup'!$D$7:$O$171,MATCH($E116&amp;"Low",'Sensitivity Setup'!$E$7:$E$171&amp;'Sensitivity Setup'!$F$7:$F$171,0),MATCH("Base-case (value)",'Sensitivity Setup'!$D$7:$O$7,0)),"")</f>
        <v>15</v>
      </c>
      <c r="G116" s="149">
        <f t="array" ref="G116">IFERROR(INDEX('Sensitivity Setup'!$D$7:$O$171,MATCH($E116&amp;"Low",'Sensitivity Setup'!$E$7:$E$171&amp;'Sensitivity Setup'!$F$7:$F$171,0),MATCH("Input SA value",'Sensitivity Setup'!$D$7:$O$7,0)),"")</f>
        <v>10.5</v>
      </c>
      <c r="H116" s="149">
        <f t="array" ref="H116">IFERROR(INDEX('Sensitivity Setup'!$D$7:$O$171,MATCH($E116&amp;"High",'Sensitivity Setup'!$E$7:$E$171&amp;'Sensitivity Setup'!$F$7:$F$171,0),MATCH("Input SA value",'Sensitivity Setup'!$D$7:$O$7,0)),"")</f>
        <v>19.5</v>
      </c>
      <c r="I116" s="139">
        <f t="array" ref="I116">IFERROR(INDEX('Sensitivity Setup'!$D$7:$O$171,MATCH($E116&amp;"Low",'Sensitivity Setup'!$E$7:$E$171&amp;'Sensitivity Setup'!$F$7:$F$171,0),MATCH($I$89,'Sensitivity Setup'!$D$7:$O$7,0)),"")</f>
        <v>79.271500000000003</v>
      </c>
      <c r="J116" s="139">
        <f t="array" ref="J116">IFERROR(INDEX('Sensitivity Setup'!$D$7:$O$171,MATCH($E116&amp;"High",'Sensitivity Setup'!$E$7:$E$171&amp;'Sensitivity Setup'!$F$7:$F$171,0),MATCH($I$89,'Sensitivity Setup'!$D$7:$O$7,0)),"")</f>
        <v>79.271500000000003</v>
      </c>
      <c r="K116" s="139">
        <f t="array" ref="K116">IFERROR(INDEX('Sensitivity Setup'!$D$7:$O$171,MATCH($E116&amp;"Low",'Sensitivity Setup'!$E$7:$E$171&amp;'Sensitivity Setup'!$F$7:$F$171,0),MATCH($K$89,'Sensitivity Setup'!$D$7:$O$7,0)),"")</f>
        <v>17.0625</v>
      </c>
      <c r="L116" s="139">
        <f t="array" ref="L116">IFERROR(INDEX('Sensitivity Setup'!$D$7:$O$171,MATCH($E116&amp;"High",'Sensitivity Setup'!$E$7:$E$171&amp;'Sensitivity Setup'!$F$7:$F$171,0),MATCH($K$89,'Sensitivity Setup'!$D$7:$O$7,0)),"")</f>
        <v>17.0625</v>
      </c>
      <c r="M116" s="139">
        <f t="array" ref="M116">IFERROR(INDEX('Sensitivity Setup'!$D$7:$O$171,MATCH($E116&amp;"Low",'Sensitivity Setup'!$E$7:$E$171&amp;'Sensitivity Setup'!$F$7:$F$171,0),MATCH($M$89,'Sensitivity Setup'!$D$7:$O$7,0)),"")</f>
        <v>43.895833333333336</v>
      </c>
      <c r="N116" s="139">
        <f t="array" ref="N116">IFERROR(INDEX('Sensitivity Setup'!$D$7:$O$171,MATCH($E116&amp;"High",'Sensitivity Setup'!$E$7:$E$171&amp;'Sensitivity Setup'!$F$7:$F$171,0),MATCH($M$89,'Sensitivity Setup'!$D$7:$O$7,0)),"")</f>
        <v>43.895833333333336</v>
      </c>
      <c r="O116" s="144">
        <f t="array" ref="O116">IFERROR(INDEX('Sensitivity Setup'!$D$7:$O$171,MATCH($E116&amp;"Low",'Sensitivity Setup'!$E$7:$E$171&amp;'Sensitivity Setup'!$F$7:$F$171,0),MATCH($O$89,'Sensitivity Setup'!$D$7:$O$7,0)),"")</f>
        <v>7290.9833333333336</v>
      </c>
      <c r="P116" s="144">
        <f t="array" ref="P116">IFERROR(INDEX('Sensitivity Setup'!$D$7:$O$171,MATCH($E116&amp;"High",'Sensitivity Setup'!$E$7:$E$171&amp;'Sensitivity Setup'!$F$7:$F$171,0),MATCH($O$89,'Sensitivity Setup'!$D$7:$O$7,0)),"")</f>
        <v>8168.4833333333336</v>
      </c>
      <c r="R116" s="1"/>
    </row>
    <row r="117" spans="1:18" s="60" customFormat="1">
      <c r="A117" s="58"/>
      <c r="B117" s="5"/>
      <c r="C117" s="59"/>
      <c r="D117" s="61"/>
      <c r="E117" s="137" t="str">
        <f>'Sensitivity Setup'!$E$84</f>
        <v>Hourly rate - contact tracer +/- 30%</v>
      </c>
      <c r="F117" s="149">
        <f t="array" ref="F117">IFERROR(INDEX('Sensitivity Setup'!$D$7:$O$171,MATCH($E117&amp;"Low",'Sensitivity Setup'!$E$7:$E$171&amp;'Sensitivity Setup'!$F$7:$F$171,0),MATCH("Base-case (value)",'Sensitivity Setup'!$D$7:$O$7,0)),"")</f>
        <v>15</v>
      </c>
      <c r="G117" s="149">
        <f t="array" ref="G117">IFERROR(INDEX('Sensitivity Setup'!$D$7:$O$171,MATCH($E117&amp;"Low",'Sensitivity Setup'!$E$7:$E$171&amp;'Sensitivity Setup'!$F$7:$F$171,0),MATCH("Input SA value",'Sensitivity Setup'!$D$7:$O$7,0)),"")</f>
        <v>10.5</v>
      </c>
      <c r="H117" s="149">
        <f t="array" ref="H117">IFERROR(INDEX('Sensitivity Setup'!$D$7:$O$171,MATCH($E117&amp;"High",'Sensitivity Setup'!$E$7:$E$171&amp;'Sensitivity Setup'!$F$7:$F$171,0),MATCH("Input SA value",'Sensitivity Setup'!$D$7:$O$7,0)),"")</f>
        <v>19.5</v>
      </c>
      <c r="I117" s="139">
        <f t="array" ref="I117">IFERROR(INDEX('Sensitivity Setup'!$D$7:$O$171,MATCH($E117&amp;"Low",'Sensitivity Setup'!$E$7:$E$171&amp;'Sensitivity Setup'!$F$7:$F$171,0),MATCH($I$89,'Sensitivity Setup'!$D$7:$O$7,0)),"")</f>
        <v>79.271500000000003</v>
      </c>
      <c r="J117" s="139">
        <f t="array" ref="J117">IFERROR(INDEX('Sensitivity Setup'!$D$7:$O$171,MATCH($E117&amp;"High",'Sensitivity Setup'!$E$7:$E$171&amp;'Sensitivity Setup'!$F$7:$F$171,0),MATCH($I$89,'Sensitivity Setup'!$D$7:$O$7,0)),"")</f>
        <v>79.271500000000003</v>
      </c>
      <c r="K117" s="139">
        <f t="array" ref="K117">IFERROR(INDEX('Sensitivity Setup'!$D$7:$O$171,MATCH($E117&amp;"Low",'Sensitivity Setup'!$E$7:$E$171&amp;'Sensitivity Setup'!$F$7:$F$171,0),MATCH($K$89,'Sensitivity Setup'!$D$7:$O$7,0)),"")</f>
        <v>17.0625</v>
      </c>
      <c r="L117" s="139">
        <f t="array" ref="L117">IFERROR(INDEX('Sensitivity Setup'!$D$7:$O$171,MATCH($E117&amp;"High",'Sensitivity Setup'!$E$7:$E$171&amp;'Sensitivity Setup'!$F$7:$F$171,0),MATCH($K$89,'Sensitivity Setup'!$D$7:$O$7,0)),"")</f>
        <v>17.0625</v>
      </c>
      <c r="M117" s="139">
        <f t="array" ref="M117">IFERROR(INDEX('Sensitivity Setup'!$D$7:$O$171,MATCH($E117&amp;"Low",'Sensitivity Setup'!$E$7:$E$171&amp;'Sensitivity Setup'!$F$7:$F$171,0),MATCH($M$89,'Sensitivity Setup'!$D$7:$O$7,0)),"")</f>
        <v>43.895833333333336</v>
      </c>
      <c r="N117" s="139">
        <f t="array" ref="N117">IFERROR(INDEX('Sensitivity Setup'!$D$7:$O$171,MATCH($E117&amp;"High",'Sensitivity Setup'!$E$7:$E$171&amp;'Sensitivity Setup'!$F$7:$F$171,0),MATCH($M$89,'Sensitivity Setup'!$D$7:$O$7,0)),"")</f>
        <v>43.895833333333336</v>
      </c>
      <c r="O117" s="144">
        <f t="array" ref="O117">IFERROR(INDEX('Sensitivity Setup'!$D$7:$O$171,MATCH($E117&amp;"Low",'Sensitivity Setup'!$E$7:$E$171&amp;'Sensitivity Setup'!$F$7:$F$171,0),MATCH($O$89,'Sensitivity Setup'!$D$7:$O$7,0)),"")</f>
        <v>6600.9833333333336</v>
      </c>
      <c r="P117" s="144">
        <f t="array" ref="P117">IFERROR(INDEX('Sensitivity Setup'!$D$7:$O$171,MATCH($E117&amp;"High",'Sensitivity Setup'!$E$7:$E$171&amp;'Sensitivity Setup'!$F$7:$F$171,0),MATCH($O$89,'Sensitivity Setup'!$D$7:$O$7,0)),"")</f>
        <v>8858.4833333333336</v>
      </c>
      <c r="R117" s="1"/>
    </row>
    <row r="118" spans="1:18" s="60" customFormat="1">
      <c r="A118" s="58"/>
      <c r="B118" s="5"/>
      <c r="C118" s="59"/>
      <c r="D118" s="61"/>
      <c r="E118" s="137" t="str">
        <f>'Sensitivity Setup'!$E$88</f>
        <v>Hourly rate - resource coordinator +/- 30%</v>
      </c>
      <c r="F118" s="149">
        <f t="array" ref="F118">IFERROR(INDEX('Sensitivity Setup'!$D$7:$O$171,MATCH($E118&amp;"Low",'Sensitivity Setup'!$E$7:$E$171&amp;'Sensitivity Setup'!$F$7:$F$171,0),MATCH("Base-case (value)",'Sensitivity Setup'!$D$7:$O$7,0)),"")</f>
        <v>20</v>
      </c>
      <c r="G118" s="149">
        <f t="array" ref="G118">IFERROR(INDEX('Sensitivity Setup'!$D$7:$O$171,MATCH($E118&amp;"Low",'Sensitivity Setup'!$E$7:$E$171&amp;'Sensitivity Setup'!$F$7:$F$171,0),MATCH("Input SA value",'Sensitivity Setup'!$D$7:$O$7,0)),"")</f>
        <v>14</v>
      </c>
      <c r="H118" s="149">
        <f t="array" ref="H118">IFERROR(INDEX('Sensitivity Setup'!$D$7:$O$171,MATCH($E118&amp;"High",'Sensitivity Setup'!$E$7:$E$171&amp;'Sensitivity Setup'!$F$7:$F$171,0),MATCH("Input SA value",'Sensitivity Setup'!$D$7:$O$7,0)),"")</f>
        <v>26</v>
      </c>
      <c r="I118" s="139">
        <f t="array" ref="I118">IFERROR(INDEX('Sensitivity Setup'!$D$7:$O$171,MATCH($E118&amp;"Low",'Sensitivity Setup'!$E$7:$E$171&amp;'Sensitivity Setup'!$F$7:$F$171,0),MATCH($I$89,'Sensitivity Setup'!$D$7:$O$7,0)),"")</f>
        <v>79.271500000000003</v>
      </c>
      <c r="J118" s="139">
        <f t="array" ref="J118">IFERROR(INDEX('Sensitivity Setup'!$D$7:$O$171,MATCH($E118&amp;"High",'Sensitivity Setup'!$E$7:$E$171&amp;'Sensitivity Setup'!$F$7:$F$171,0),MATCH($I$89,'Sensitivity Setup'!$D$7:$O$7,0)),"")</f>
        <v>79.271500000000003</v>
      </c>
      <c r="K118" s="139">
        <f t="array" ref="K118">IFERROR(INDEX('Sensitivity Setup'!$D$7:$O$171,MATCH($E118&amp;"Low",'Sensitivity Setup'!$E$7:$E$171&amp;'Sensitivity Setup'!$F$7:$F$171,0),MATCH($K$89,'Sensitivity Setup'!$D$7:$O$7,0)),"")</f>
        <v>17.0625</v>
      </c>
      <c r="L118" s="139">
        <f t="array" ref="L118">IFERROR(INDEX('Sensitivity Setup'!$D$7:$O$171,MATCH($E118&amp;"High",'Sensitivity Setup'!$E$7:$E$171&amp;'Sensitivity Setup'!$F$7:$F$171,0),MATCH($K$89,'Sensitivity Setup'!$D$7:$O$7,0)),"")</f>
        <v>17.0625</v>
      </c>
      <c r="M118" s="139">
        <f t="array" ref="M118">IFERROR(INDEX('Sensitivity Setup'!$D$7:$O$171,MATCH($E118&amp;"Low",'Sensitivity Setup'!$E$7:$E$171&amp;'Sensitivity Setup'!$F$7:$F$171,0),MATCH($M$89,'Sensitivity Setup'!$D$7:$O$7,0)),"")</f>
        <v>43.895833333333336</v>
      </c>
      <c r="N118" s="139">
        <f t="array" ref="N118">IFERROR(INDEX('Sensitivity Setup'!$D$7:$O$171,MATCH($E118&amp;"High",'Sensitivity Setup'!$E$7:$E$171&amp;'Sensitivity Setup'!$F$7:$F$171,0),MATCH($M$89,'Sensitivity Setup'!$D$7:$O$7,0)),"")</f>
        <v>43.895833333333336</v>
      </c>
      <c r="O118" s="144">
        <f t="array" ref="O118">IFERROR(INDEX('Sensitivity Setup'!$D$7:$O$171,MATCH($E118&amp;"Low",'Sensitivity Setup'!$E$7:$E$171&amp;'Sensitivity Setup'!$F$7:$F$171,0),MATCH($O$89,'Sensitivity Setup'!$D$7:$O$7,0)),"")</f>
        <v>7348.9333333333325</v>
      </c>
      <c r="P118" s="144">
        <f t="array" ref="P118">IFERROR(INDEX('Sensitivity Setup'!$D$7:$O$171,MATCH($E118&amp;"High",'Sensitivity Setup'!$E$7:$E$171&amp;'Sensitivity Setup'!$F$7:$F$171,0),MATCH($O$89,'Sensitivity Setup'!$D$7:$O$7,0)),"")</f>
        <v>8110.5333333333328</v>
      </c>
      <c r="R118" s="1"/>
    </row>
    <row r="119" spans="1:18" s="60" customFormat="1">
      <c r="A119" s="58"/>
      <c r="B119" s="5"/>
      <c r="C119" s="59"/>
      <c r="D119" s="61"/>
      <c r="E119" s="137" t="str">
        <f>'Sensitivity Setup'!$E$92</f>
        <v>Hourly rate - supervisors/managers +/- 30%</v>
      </c>
      <c r="F119" s="149">
        <f t="array" ref="F119">IFERROR(INDEX('Sensitivity Setup'!$D$7:$O$171,MATCH($E119&amp;"Low",'Sensitivity Setup'!$E$7:$E$171&amp;'Sensitivity Setup'!$F$7:$F$171,0),MATCH("Base-case (value)",'Sensitivity Setup'!$D$7:$O$7,0)),"")</f>
        <v>30</v>
      </c>
      <c r="G119" s="149">
        <f t="array" ref="G119">IFERROR(INDEX('Sensitivity Setup'!$D$7:$O$171,MATCH($E119&amp;"Low",'Sensitivity Setup'!$E$7:$E$171&amp;'Sensitivity Setup'!$F$7:$F$171,0),MATCH("Input SA value",'Sensitivity Setup'!$D$7:$O$7,0)),"")</f>
        <v>21</v>
      </c>
      <c r="H119" s="149">
        <f t="array" ref="H119">IFERROR(INDEX('Sensitivity Setup'!$D$7:$O$171,MATCH($E119&amp;"High",'Sensitivity Setup'!$E$7:$E$171&amp;'Sensitivity Setup'!$F$7:$F$171,0),MATCH("Input SA value",'Sensitivity Setup'!$D$7:$O$7,0)),"")</f>
        <v>39</v>
      </c>
      <c r="I119" s="139">
        <f t="array" ref="I119">IFERROR(INDEX('Sensitivity Setup'!$D$7:$O$171,MATCH($E119&amp;"Low",'Sensitivity Setup'!$E$7:$E$171&amp;'Sensitivity Setup'!$F$7:$F$171,0),MATCH($I$89,'Sensitivity Setup'!$D$7:$O$7,0)),"")</f>
        <v>79.271500000000003</v>
      </c>
      <c r="J119" s="139">
        <f t="array" ref="J119">IFERROR(INDEX('Sensitivity Setup'!$D$7:$O$171,MATCH($E119&amp;"High",'Sensitivity Setup'!$E$7:$E$171&amp;'Sensitivity Setup'!$F$7:$F$171,0),MATCH($I$89,'Sensitivity Setup'!$D$7:$O$7,0)),"")</f>
        <v>79.271500000000003</v>
      </c>
      <c r="K119" s="139">
        <f t="array" ref="K119">IFERROR(INDEX('Sensitivity Setup'!$D$7:$O$171,MATCH($E119&amp;"Low",'Sensitivity Setup'!$E$7:$E$171&amp;'Sensitivity Setup'!$F$7:$F$171,0),MATCH($K$89,'Sensitivity Setup'!$D$7:$O$7,0)),"")</f>
        <v>17.0625</v>
      </c>
      <c r="L119" s="139">
        <f t="array" ref="L119">IFERROR(INDEX('Sensitivity Setup'!$D$7:$O$171,MATCH($E119&amp;"High",'Sensitivity Setup'!$E$7:$E$171&amp;'Sensitivity Setup'!$F$7:$F$171,0),MATCH($K$89,'Sensitivity Setup'!$D$7:$O$7,0)),"")</f>
        <v>17.0625</v>
      </c>
      <c r="M119" s="139">
        <f t="array" ref="M119">IFERROR(INDEX('Sensitivity Setup'!$D$7:$O$171,MATCH($E119&amp;"Low",'Sensitivity Setup'!$E$7:$E$171&amp;'Sensitivity Setup'!$F$7:$F$171,0),MATCH($M$89,'Sensitivity Setup'!$D$7:$O$7,0)),"")</f>
        <v>43.895833333333336</v>
      </c>
      <c r="N119" s="139">
        <f t="array" ref="N119">IFERROR(INDEX('Sensitivity Setup'!$D$7:$O$171,MATCH($E119&amp;"High",'Sensitivity Setup'!$E$7:$E$171&amp;'Sensitivity Setup'!$F$7:$F$171,0),MATCH($M$89,'Sensitivity Setup'!$D$7:$O$7,0)),"")</f>
        <v>43.895833333333336</v>
      </c>
      <c r="O119" s="144">
        <f t="array" ref="O119">IFERROR(INDEX('Sensitivity Setup'!$D$7:$O$171,MATCH($E119&amp;"Low",'Sensitivity Setup'!$E$7:$E$171&amp;'Sensitivity Setup'!$F$7:$F$171,0),MATCH($O$89,'Sensitivity Setup'!$D$7:$O$7,0)),"")</f>
        <v>7359.1133333333337</v>
      </c>
      <c r="P119" s="144">
        <f t="array" ref="P119">IFERROR(INDEX('Sensitivity Setup'!$D$7:$O$171,MATCH($E119&amp;"High",'Sensitivity Setup'!$E$7:$E$171&amp;'Sensitivity Setup'!$F$7:$F$171,0),MATCH($O$89,'Sensitivity Setup'!$D$7:$O$7,0)),"")</f>
        <v>8100.3533333333344</v>
      </c>
      <c r="R119" s="1"/>
    </row>
    <row r="120" spans="1:18" s="60" customFormat="1">
      <c r="A120" s="58"/>
      <c r="B120" s="5"/>
      <c r="C120" s="59"/>
      <c r="D120" s="61"/>
      <c r="E120" s="63"/>
      <c r="F120" s="63"/>
      <c r="G120" s="63"/>
      <c r="H120" s="63"/>
      <c r="I120" s="63"/>
      <c r="J120" s="63"/>
      <c r="K120" s="63"/>
      <c r="L120" s="63"/>
      <c r="M120" s="63"/>
      <c r="N120" s="63"/>
      <c r="O120" s="63"/>
      <c r="R120" s="1"/>
    </row>
    <row r="121" spans="1:18">
      <c r="B121" s="5"/>
      <c r="R121" s="1"/>
    </row>
    <row r="122" spans="1:18" s="53" customFormat="1" ht="18" collapsed="1">
      <c r="B122" s="308"/>
      <c r="C122" s="308"/>
      <c r="D122" s="308"/>
      <c r="E122" s="308"/>
      <c r="F122" s="308"/>
      <c r="G122" s="308"/>
      <c r="H122" s="308"/>
      <c r="I122" s="308"/>
      <c r="J122" s="308"/>
      <c r="K122" s="308"/>
      <c r="L122" s="308"/>
      <c r="M122" s="308"/>
      <c r="N122" s="308"/>
      <c r="O122" s="308"/>
      <c r="P122" s="308"/>
      <c r="Q122" s="308"/>
      <c r="R122" s="1"/>
    </row>
  </sheetData>
  <mergeCells count="39">
    <mergeCell ref="G48:P48"/>
    <mergeCell ref="G49:H49"/>
    <mergeCell ref="I49:J49"/>
    <mergeCell ref="K49:L49"/>
    <mergeCell ref="B122:Q122"/>
    <mergeCell ref="K50:L50"/>
    <mergeCell ref="M50:N50"/>
    <mergeCell ref="O50:P50"/>
    <mergeCell ref="E50:F50"/>
    <mergeCell ref="I50:J50"/>
    <mergeCell ref="B87:Q87"/>
    <mergeCell ref="G50:H50"/>
    <mergeCell ref="B41:Q41"/>
    <mergeCell ref="K89:L90"/>
    <mergeCell ref="F92:H92"/>
    <mergeCell ref="H17:Q19"/>
    <mergeCell ref="E89:E91"/>
    <mergeCell ref="F89:H90"/>
    <mergeCell ref="I89:J90"/>
    <mergeCell ref="M89:N90"/>
    <mergeCell ref="O89:P90"/>
    <mergeCell ref="M49:N49"/>
    <mergeCell ref="O49:P49"/>
    <mergeCell ref="E43:N43"/>
    <mergeCell ref="E44:N44"/>
    <mergeCell ref="G46:J46"/>
    <mergeCell ref="E48:F48"/>
    <mergeCell ref="E49:F49"/>
    <mergeCell ref="H10:O10"/>
    <mergeCell ref="E15:N15"/>
    <mergeCell ref="C2:N2"/>
    <mergeCell ref="B4:Q4"/>
    <mergeCell ref="C3:Q3"/>
    <mergeCell ref="B13:Q13"/>
    <mergeCell ref="E6:N6"/>
    <mergeCell ref="H9:O9"/>
    <mergeCell ref="H8:O8"/>
    <mergeCell ref="F9:G9"/>
    <mergeCell ref="F8:G8"/>
  </mergeCells>
  <conditionalFormatting sqref="E56:P58 M92:N93 I92:J119">
    <cfRule type="expression" dxfId="16" priority="33">
      <formula>#REF!=worker_select_name</formula>
    </cfRule>
  </conditionalFormatting>
  <conditionalFormatting sqref="O92:P93">
    <cfRule type="expression" dxfId="15" priority="29">
      <formula>#REF!=worker_select_name</formula>
    </cfRule>
  </conditionalFormatting>
  <conditionalFormatting sqref="K92:L119">
    <cfRule type="expression" dxfId="14" priority="18">
      <formula>#REF!=worker_select_name</formula>
    </cfRule>
  </conditionalFormatting>
  <conditionalFormatting sqref="M94:P119">
    <cfRule type="expression" dxfId="13" priority="17">
      <formula>#REF!=worker_select_name</formula>
    </cfRule>
  </conditionalFormatting>
  <conditionalFormatting sqref="F113:H113">
    <cfRule type="expression" dxfId="12" priority="10">
      <formula>#REF!=worker_select_name</formula>
    </cfRule>
  </conditionalFormatting>
  <conditionalFormatting sqref="F96:H96">
    <cfRule type="expression" dxfId="11" priority="14">
      <formula>#REF!=worker_select_name</formula>
    </cfRule>
  </conditionalFormatting>
  <conditionalFormatting sqref="F100:H100">
    <cfRule type="expression" dxfId="10" priority="13">
      <formula>#REF!=worker_select_name</formula>
    </cfRule>
  </conditionalFormatting>
  <conditionalFormatting sqref="F104:H104">
    <cfRule type="expression" dxfId="9" priority="12">
      <formula>#REF!=worker_select_name</formula>
    </cfRule>
  </conditionalFormatting>
  <conditionalFormatting sqref="F109:H109">
    <cfRule type="expression" dxfId="8" priority="11">
      <formula>#REF!=worker_select_name</formula>
    </cfRule>
  </conditionalFormatting>
  <conditionalFormatting sqref="G51:G55">
    <cfRule type="expression" dxfId="7" priority="5">
      <formula>#REF!=worker_select_name</formula>
    </cfRule>
  </conditionalFormatting>
  <conditionalFormatting sqref="I51:I55">
    <cfRule type="expression" dxfId="6" priority="4">
      <formula>#REF!=worker_select_name</formula>
    </cfRule>
  </conditionalFormatting>
  <conditionalFormatting sqref="K51:K55">
    <cfRule type="expression" dxfId="5" priority="3">
      <formula>#REF!=worker_select_name</formula>
    </cfRule>
  </conditionalFormatting>
  <conditionalFormatting sqref="M51:M55">
    <cfRule type="expression" dxfId="4" priority="2">
      <formula>#REF!=worker_select_name</formula>
    </cfRule>
  </conditionalFormatting>
  <conditionalFormatting sqref="O51:O55">
    <cfRule type="expression" dxfId="3" priority="1">
      <formula>#REF!=worker_select_name</formula>
    </cfRule>
  </conditionalFormatting>
  <dataValidations count="1">
    <dataValidation allowBlank="1" showInputMessage="1" showErrorMessage="1" promptTitle="NOTE:" prompt="Sensitivity analysis must be re-run after changes to default range of variation (press button below)" sqref="F9:G9"/>
  </dataValidations>
  <hyperlinks>
    <hyperlink ref="G46:J46" location="SAparam" display="Click here to change the default range of variation"/>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Drop Down 1">
              <controlPr defaultSize="0" autoLine="0" autoPict="0" macro="[0]!tornado">
                <anchor moveWithCells="1">
                  <from>
                    <xdr:col>5</xdr:col>
                    <xdr:colOff>19050</xdr:colOff>
                    <xdr:row>16</xdr:row>
                    <xdr:rowOff>28575</xdr:rowOff>
                  </from>
                  <to>
                    <xdr:col>6</xdr:col>
                    <xdr:colOff>1114425</xdr:colOff>
                    <xdr:row>17</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9"/>
    <outlinePr showOutlineSymbols="0"/>
  </sheetPr>
  <dimension ref="B2:T20"/>
  <sheetViews>
    <sheetView showGridLines="0" workbookViewId="0"/>
  </sheetViews>
  <sheetFormatPr defaultColWidth="9.125" defaultRowHeight="14.25"/>
  <cols>
    <col min="1" max="1" width="9.125" style="2"/>
    <col min="2" max="2" width="2.625" style="2" customWidth="1"/>
    <col min="3" max="3" width="9.125" style="2"/>
    <col min="4" max="4" width="37.875" style="2" customWidth="1"/>
    <col min="5" max="5" width="3.625" style="2" customWidth="1"/>
    <col min="6" max="6" width="7.875" style="2" customWidth="1"/>
    <col min="7" max="7" width="1.125" style="2" customWidth="1"/>
    <col min="8" max="8" width="7.875" style="2" customWidth="1"/>
    <col min="9" max="9" width="1.125" style="2" customWidth="1"/>
    <col min="10" max="10" width="7.875" style="2" customWidth="1"/>
    <col min="11" max="11" width="1.125" style="2" customWidth="1"/>
    <col min="12" max="12" width="7.875" style="2" customWidth="1"/>
    <col min="13" max="13" width="1.125" style="2" customWidth="1"/>
    <col min="14" max="14" width="7.875" style="2" customWidth="1"/>
    <col min="15" max="15" width="1.125" style="2" customWidth="1"/>
    <col min="16" max="16" width="7.875" style="2" customWidth="1"/>
    <col min="17" max="17" width="1.125" style="2" customWidth="1"/>
    <col min="18" max="18" width="7.875" style="2" customWidth="1"/>
    <col min="19" max="19" width="9.125" style="2"/>
    <col min="20" max="20" width="2.625" style="2" customWidth="1"/>
    <col min="21" max="16384" width="9.125" style="2"/>
  </cols>
  <sheetData>
    <row r="2" spans="2:20" ht="15">
      <c r="B2" s="5"/>
      <c r="C2" s="309" t="s">
        <v>8</v>
      </c>
      <c r="D2" s="309"/>
      <c r="E2" s="309"/>
      <c r="F2" s="309"/>
      <c r="G2" s="309"/>
      <c r="H2" s="309"/>
      <c r="I2" s="309"/>
      <c r="J2" s="309"/>
      <c r="K2" s="309"/>
      <c r="L2" s="309"/>
      <c r="M2" s="309"/>
      <c r="N2" s="309"/>
      <c r="O2" s="309"/>
      <c r="P2" s="309"/>
      <c r="Q2" s="309"/>
      <c r="R2" s="309"/>
      <c r="S2" s="309"/>
      <c r="T2" s="1"/>
    </row>
    <row r="3" spans="2:20">
      <c r="B3" s="5"/>
      <c r="C3" s="6"/>
      <c r="D3" s="7"/>
      <c r="E3" s="7"/>
      <c r="F3" s="7"/>
      <c r="G3" s="7"/>
      <c r="H3" s="7"/>
      <c r="I3" s="7"/>
      <c r="J3" s="7"/>
      <c r="K3" s="7"/>
      <c r="L3" s="7"/>
      <c r="M3" s="7"/>
      <c r="N3" s="7"/>
      <c r="O3" s="7"/>
      <c r="P3" s="7"/>
      <c r="Q3" s="7"/>
      <c r="R3" s="7"/>
      <c r="S3" s="7"/>
      <c r="T3" s="1"/>
    </row>
    <row r="4" spans="2:20" ht="15.75">
      <c r="B4" s="5"/>
      <c r="C4"/>
      <c r="D4" s="10" t="s">
        <v>36</v>
      </c>
      <c r="E4"/>
      <c r="F4"/>
      <c r="G4"/>
      <c r="H4"/>
      <c r="I4"/>
      <c r="J4"/>
      <c r="K4"/>
      <c r="L4"/>
      <c r="M4"/>
      <c r="N4"/>
      <c r="O4"/>
      <c r="P4"/>
      <c r="Q4"/>
      <c r="R4"/>
      <c r="S4"/>
      <c r="T4" s="1"/>
    </row>
    <row r="5" spans="2:20" ht="15.75">
      <c r="B5" s="5"/>
      <c r="C5"/>
      <c r="D5" s="11" t="s">
        <v>37</v>
      </c>
      <c r="E5" s="12" t="s">
        <v>9</v>
      </c>
      <c r="F5" s="12"/>
      <c r="G5"/>
      <c r="H5"/>
      <c r="I5"/>
      <c r="J5"/>
      <c r="K5"/>
      <c r="L5"/>
      <c r="M5"/>
      <c r="N5"/>
      <c r="O5"/>
      <c r="P5"/>
      <c r="Q5"/>
      <c r="R5"/>
      <c r="S5"/>
      <c r="T5" s="1"/>
    </row>
    <row r="6" spans="2:20" ht="15.75">
      <c r="B6" s="5"/>
      <c r="C6"/>
      <c r="D6" s="9" t="s">
        <v>31</v>
      </c>
      <c r="E6">
        <v>1</v>
      </c>
      <c r="F6"/>
      <c r="G6"/>
      <c r="H6"/>
      <c r="I6"/>
      <c r="J6"/>
      <c r="K6"/>
      <c r="L6"/>
      <c r="M6"/>
      <c r="N6"/>
      <c r="O6"/>
      <c r="P6"/>
      <c r="Q6"/>
      <c r="R6"/>
      <c r="S6"/>
      <c r="T6" s="1"/>
    </row>
    <row r="7" spans="2:20" ht="15.75">
      <c r="B7" s="5"/>
      <c r="C7"/>
      <c r="D7" s="9" t="s">
        <v>30</v>
      </c>
      <c r="E7"/>
      <c r="F7"/>
      <c r="G7"/>
      <c r="H7"/>
      <c r="I7"/>
      <c r="J7"/>
      <c r="K7"/>
      <c r="L7"/>
      <c r="M7"/>
      <c r="N7"/>
      <c r="O7"/>
      <c r="P7"/>
      <c r="Q7"/>
      <c r="R7"/>
      <c r="S7"/>
      <c r="T7" s="1"/>
    </row>
    <row r="8" spans="2:20" ht="15.75">
      <c r="B8" s="5"/>
      <c r="C8"/>
      <c r="D8" s="9"/>
      <c r="E8"/>
      <c r="F8"/>
      <c r="G8"/>
      <c r="H8"/>
      <c r="I8"/>
      <c r="J8"/>
      <c r="K8"/>
      <c r="L8"/>
      <c r="M8"/>
      <c r="N8"/>
      <c r="O8"/>
      <c r="P8"/>
      <c r="Q8"/>
      <c r="R8"/>
      <c r="S8"/>
      <c r="T8" s="1"/>
    </row>
    <row r="9" spans="2:20" ht="15.75">
      <c r="B9" s="5"/>
      <c r="C9"/>
      <c r="D9" s="11" t="s">
        <v>44</v>
      </c>
      <c r="E9" s="12" t="s">
        <v>9</v>
      </c>
      <c r="F9" s="12"/>
      <c r="G9"/>
      <c r="H9"/>
      <c r="I9"/>
      <c r="J9"/>
      <c r="K9"/>
      <c r="L9"/>
      <c r="M9"/>
      <c r="N9"/>
      <c r="O9"/>
      <c r="P9"/>
      <c r="Q9"/>
      <c r="R9"/>
      <c r="S9"/>
      <c r="T9" s="1"/>
    </row>
    <row r="10" spans="2:20" ht="15.75">
      <c r="B10" s="5"/>
      <c r="C10"/>
      <c r="D10" s="9" t="s">
        <v>45</v>
      </c>
      <c r="E10"/>
      <c r="F10"/>
      <c r="G10"/>
      <c r="H10"/>
      <c r="I10"/>
      <c r="J10"/>
      <c r="K10"/>
      <c r="L10"/>
      <c r="M10"/>
      <c r="N10"/>
      <c r="O10"/>
      <c r="P10"/>
      <c r="Q10"/>
      <c r="R10"/>
      <c r="S10"/>
      <c r="T10" s="1"/>
    </row>
    <row r="11" spans="2:20" ht="15.75">
      <c r="B11" s="5"/>
      <c r="C11"/>
      <c r="D11" s="9" t="s">
        <v>110</v>
      </c>
      <c r="E11"/>
      <c r="F11"/>
      <c r="G11"/>
      <c r="H11"/>
      <c r="I11"/>
      <c r="J11"/>
      <c r="K11"/>
      <c r="L11"/>
      <c r="M11"/>
      <c r="N11"/>
      <c r="O11"/>
      <c r="P11"/>
      <c r="Q11"/>
      <c r="R11"/>
      <c r="S11"/>
      <c r="T11" s="1"/>
    </row>
    <row r="12" spans="2:20" ht="15.75">
      <c r="B12" s="5"/>
      <c r="C12"/>
      <c r="D12" s="9" t="s">
        <v>46</v>
      </c>
      <c r="E12"/>
      <c r="F12"/>
      <c r="G12"/>
      <c r="H12"/>
      <c r="I12"/>
      <c r="J12"/>
      <c r="K12"/>
      <c r="L12"/>
      <c r="M12"/>
      <c r="N12"/>
      <c r="O12"/>
      <c r="P12"/>
      <c r="Q12"/>
      <c r="R12"/>
      <c r="S12"/>
      <c r="T12" s="1"/>
    </row>
    <row r="13" spans="2:20" ht="15.75" customHeight="1">
      <c r="B13" s="5"/>
      <c r="C13"/>
      <c r="D13"/>
      <c r="E13"/>
      <c r="F13"/>
      <c r="G13"/>
      <c r="H13"/>
      <c r="I13"/>
      <c r="J13"/>
      <c r="K13"/>
      <c r="L13"/>
      <c r="M13"/>
      <c r="N13"/>
      <c r="O13"/>
      <c r="P13"/>
      <c r="Q13"/>
      <c r="R13"/>
      <c r="S13"/>
      <c r="T13" s="1"/>
    </row>
    <row r="14" spans="2:20" ht="15.75">
      <c r="B14" s="5"/>
      <c r="C14"/>
      <c r="D14" s="11" t="s">
        <v>156</v>
      </c>
      <c r="E14" s="12" t="s">
        <v>157</v>
      </c>
      <c r="F14" s="12"/>
      <c r="G14"/>
      <c r="H14"/>
      <c r="I14"/>
      <c r="J14" s="12" t="s">
        <v>158</v>
      </c>
      <c r="K14"/>
      <c r="L14"/>
      <c r="M14"/>
      <c r="N14"/>
      <c r="O14"/>
      <c r="P14"/>
      <c r="Q14"/>
      <c r="R14"/>
      <c r="S14"/>
      <c r="T14" s="1"/>
    </row>
    <row r="15" spans="2:20" ht="15.75">
      <c r="B15" s="5"/>
      <c r="C15"/>
      <c r="D15" s="9" t="s">
        <v>152</v>
      </c>
      <c r="E15">
        <v>1</v>
      </c>
      <c r="F15"/>
      <c r="G15"/>
      <c r="H15"/>
      <c r="I15"/>
      <c r="J15" t="str">
        <f>INDEX(option_DSA_tornado,DSA_tornado_index)</f>
        <v>Total number of staff needed</v>
      </c>
      <c r="K15"/>
      <c r="L15"/>
      <c r="M15"/>
      <c r="N15"/>
      <c r="O15"/>
      <c r="P15"/>
      <c r="Q15"/>
      <c r="R15"/>
      <c r="S15"/>
      <c r="T15" s="1"/>
    </row>
    <row r="16" spans="2:20" ht="15.75">
      <c r="B16" s="5"/>
      <c r="C16"/>
      <c r="D16" s="9" t="s">
        <v>90</v>
      </c>
      <c r="E16"/>
      <c r="F16"/>
      <c r="G16"/>
      <c r="H16"/>
      <c r="I16"/>
      <c r="J16"/>
      <c r="K16"/>
      <c r="L16"/>
      <c r="M16"/>
      <c r="N16"/>
      <c r="O16"/>
      <c r="P16"/>
      <c r="Q16"/>
      <c r="R16"/>
      <c r="S16"/>
      <c r="T16" s="1"/>
    </row>
    <row r="17" spans="2:20" ht="15.75">
      <c r="B17" s="5"/>
      <c r="C17"/>
      <c r="D17" s="9" t="s">
        <v>98</v>
      </c>
      <c r="E17"/>
      <c r="F17"/>
      <c r="G17"/>
      <c r="H17"/>
      <c r="I17"/>
      <c r="J17"/>
      <c r="K17"/>
      <c r="L17"/>
      <c r="M17"/>
      <c r="N17"/>
      <c r="O17"/>
      <c r="P17"/>
      <c r="Q17"/>
      <c r="R17"/>
      <c r="S17"/>
      <c r="T17" s="1"/>
    </row>
    <row r="18" spans="2:20">
      <c r="B18" s="1"/>
      <c r="D18" s="2" t="s">
        <v>99</v>
      </c>
      <c r="T18" s="1"/>
    </row>
    <row r="19" spans="2:20">
      <c r="B19" s="1"/>
      <c r="T19" s="1"/>
    </row>
    <row r="20" spans="2:20" ht="15">
      <c r="B20" s="1"/>
      <c r="C20" s="309"/>
      <c r="D20" s="309"/>
      <c r="E20" s="309"/>
      <c r="F20" s="309"/>
      <c r="G20" s="309"/>
      <c r="H20" s="309"/>
      <c r="I20" s="309"/>
      <c r="J20" s="309"/>
      <c r="K20" s="309"/>
      <c r="L20" s="309"/>
      <c r="M20" s="309"/>
      <c r="N20" s="309"/>
      <c r="O20" s="309"/>
      <c r="P20" s="309"/>
      <c r="Q20" s="309"/>
      <c r="R20" s="309"/>
      <c r="S20" s="309"/>
      <c r="T20" s="1"/>
    </row>
  </sheetData>
  <mergeCells count="2">
    <mergeCell ref="C2:S2"/>
    <mergeCell ref="C20:S20"/>
  </mergeCells>
  <pageMargins left="0.7" right="0.7" top="0.75" bottom="0.75" header="0.3" footer="0.3"/>
  <pageSetup scale="74"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tint="-0.14999847407452621"/>
    <pageSetUpPr autoPageBreaks="0"/>
  </sheetPr>
  <dimension ref="A1:O171"/>
  <sheetViews>
    <sheetView showGridLines="0" zoomScaleNormal="100" workbookViewId="0"/>
  </sheetViews>
  <sheetFormatPr defaultColWidth="8.25" defaultRowHeight="20.25"/>
  <cols>
    <col min="1" max="2" width="8.25" style="86"/>
    <col min="3" max="3" width="8.25" style="90"/>
    <col min="4" max="4" width="28.375" style="90" customWidth="1"/>
    <col min="5" max="5" width="53.75" style="90" customWidth="1"/>
    <col min="6" max="6" width="21.25" style="90" customWidth="1"/>
    <col min="7" max="7" width="15.875" style="92" customWidth="1"/>
    <col min="8" max="8" width="15.25" style="92" customWidth="1"/>
    <col min="9" max="9" width="28" style="90" customWidth="1"/>
    <col min="10" max="10" width="23.75" style="90" customWidth="1"/>
    <col min="11" max="11" width="19.875" style="90" customWidth="1"/>
    <col min="12" max="15" width="25.875" style="90" customWidth="1"/>
    <col min="16" max="16384" width="8.25" style="90"/>
  </cols>
  <sheetData>
    <row r="1" spans="1:15" s="88" customFormat="1" ht="18" customHeight="1">
      <c r="A1" s="85"/>
      <c r="B1" s="85"/>
      <c r="C1" s="86"/>
      <c r="D1" s="86"/>
      <c r="E1" s="87"/>
      <c r="F1" s="87"/>
      <c r="G1" s="87"/>
      <c r="H1" s="87"/>
      <c r="I1" s="87"/>
      <c r="J1" s="87"/>
      <c r="K1" s="87"/>
      <c r="L1" s="87"/>
    </row>
    <row r="2" spans="1:15" s="88" customFormat="1" ht="18" customHeight="1">
      <c r="A2" s="89"/>
      <c r="B2" s="85"/>
      <c r="C2" s="86"/>
      <c r="D2" s="86"/>
      <c r="E2" s="87"/>
      <c r="F2" s="87"/>
      <c r="G2" s="87"/>
      <c r="H2" s="87"/>
      <c r="I2" s="87"/>
      <c r="J2" s="87"/>
      <c r="K2" s="87"/>
      <c r="L2" s="87"/>
    </row>
    <row r="3" spans="1:15">
      <c r="F3" s="91"/>
    </row>
    <row r="4" spans="1:15" ht="27.75">
      <c r="D4" s="93" t="s">
        <v>120</v>
      </c>
      <c r="H4" s="94"/>
    </row>
    <row r="5" spans="1:15">
      <c r="E5" s="95"/>
    </row>
    <row r="6" spans="1:15">
      <c r="E6" s="96" t="s">
        <v>119</v>
      </c>
      <c r="F6" s="96">
        <f>COUNTA(DSA_total_list)</f>
        <v>69</v>
      </c>
    </row>
    <row r="7" spans="1:15" s="134" customFormat="1" ht="33.6" customHeight="1">
      <c r="A7" s="87"/>
      <c r="B7" s="87"/>
      <c r="D7" s="135" t="s">
        <v>121</v>
      </c>
      <c r="E7" s="135" t="s">
        <v>5</v>
      </c>
      <c r="F7" s="135" t="s">
        <v>118</v>
      </c>
      <c r="G7" s="135" t="s">
        <v>117</v>
      </c>
      <c r="H7" s="135" t="s">
        <v>82</v>
      </c>
      <c r="I7" s="135" t="s">
        <v>116</v>
      </c>
      <c r="J7" s="135" t="s">
        <v>115</v>
      </c>
      <c r="K7" s="135" t="s">
        <v>114</v>
      </c>
      <c r="L7" s="135" t="s">
        <v>152</v>
      </c>
      <c r="M7" s="135" t="s">
        <v>90</v>
      </c>
      <c r="N7" s="135" t="s">
        <v>98</v>
      </c>
      <c r="O7" s="135" t="s">
        <v>99</v>
      </c>
    </row>
    <row r="8" spans="1:15" ht="18.75" customHeight="1">
      <c r="D8" s="97"/>
      <c r="E8" s="97"/>
      <c r="F8" s="97"/>
      <c r="G8" s="97"/>
      <c r="H8" s="97"/>
      <c r="I8" s="97"/>
      <c r="J8" s="97"/>
      <c r="K8" s="97"/>
      <c r="L8" s="98"/>
      <c r="M8" s="99"/>
      <c r="N8" s="100"/>
      <c r="O8" s="100"/>
    </row>
    <row r="9" spans="1:15">
      <c r="D9" s="96"/>
      <c r="E9" s="96"/>
      <c r="F9" s="96"/>
      <c r="G9" s="96"/>
      <c r="H9" s="96" t="str">
        <f ca="1">IFERROR(INDIRECT(I9),"")</f>
        <v/>
      </c>
      <c r="I9" s="96"/>
      <c r="J9" s="96"/>
      <c r="K9" s="101"/>
      <c r="L9" s="102"/>
      <c r="M9" s="102"/>
      <c r="N9" s="103"/>
      <c r="O9" s="103"/>
    </row>
    <row r="10" spans="1:15">
      <c r="D10" s="96"/>
      <c r="E10" s="96" t="s">
        <v>82</v>
      </c>
      <c r="F10" s="96" t="s">
        <v>112</v>
      </c>
      <c r="G10" s="104"/>
      <c r="H10" s="104"/>
      <c r="I10" s="96" t="s">
        <v>113</v>
      </c>
      <c r="J10" s="96"/>
      <c r="K10" s="105"/>
      <c r="L10" s="106">
        <v>79.271500000000003</v>
      </c>
      <c r="M10" s="106">
        <v>17.0625</v>
      </c>
      <c r="N10" s="136">
        <v>43.895833333333336</v>
      </c>
      <c r="O10" s="107">
        <v>7729.7333333333336</v>
      </c>
    </row>
    <row r="11" spans="1:15">
      <c r="D11" s="130" t="s">
        <v>151</v>
      </c>
      <c r="E11" s="96"/>
      <c r="F11" s="96"/>
      <c r="G11" s="104"/>
      <c r="H11" s="104"/>
      <c r="I11" s="96"/>
      <c r="J11" s="96"/>
      <c r="K11" s="105"/>
      <c r="L11" s="106"/>
      <c r="M11" s="106"/>
      <c r="N11" s="136"/>
      <c r="O11" s="107"/>
    </row>
    <row r="12" spans="1:15">
      <c r="D12" s="131" t="s">
        <v>32</v>
      </c>
      <c r="E12" s="96" t="str">
        <f>"New cases per day +/- "&amp;SAparam*100&amp;"%"</f>
        <v>New cases per day +/- 30%</v>
      </c>
      <c r="F12" s="96" t="s">
        <v>112</v>
      </c>
      <c r="G12" s="108">
        <v>100</v>
      </c>
      <c r="H12" s="108">
        <f t="shared" ref="H12:H24" ca="1" si="0">IFERROR(INDIRECT(I12),"")</f>
        <v>100</v>
      </c>
      <c r="I12" s="96" t="s">
        <v>122</v>
      </c>
      <c r="J12" s="96"/>
      <c r="K12" s="108">
        <f t="shared" ref="K12:K42" si="1">IFERROR(IF(F12="Low",G12-G12*SAparam,G12+G12*SAparam),"")</f>
        <v>70</v>
      </c>
      <c r="L12" s="106">
        <v>55.490050000000004</v>
      </c>
      <c r="M12" s="106">
        <v>11.94375</v>
      </c>
      <c r="N12" s="136">
        <v>30.727083333333336</v>
      </c>
      <c r="O12" s="107">
        <v>5410.8133333333326</v>
      </c>
    </row>
    <row r="13" spans="1:15">
      <c r="D13" s="131"/>
      <c r="E13" s="96"/>
      <c r="F13" s="96"/>
      <c r="G13" s="109"/>
      <c r="H13" s="108" t="str">
        <f t="shared" ca="1" si="0"/>
        <v/>
      </c>
      <c r="I13" s="96"/>
      <c r="J13" s="96"/>
      <c r="K13" s="108"/>
      <c r="L13" s="106"/>
      <c r="M13" s="106"/>
      <c r="N13" s="136"/>
      <c r="O13" s="107"/>
    </row>
    <row r="14" spans="1:15">
      <c r="D14" s="131"/>
      <c r="E14" s="96" t="str">
        <f>"New cases per day +/- "&amp;SAparam*100&amp;"%"</f>
        <v>New cases per day +/- 30%</v>
      </c>
      <c r="F14" s="96" t="s">
        <v>111</v>
      </c>
      <c r="G14" s="108">
        <v>100</v>
      </c>
      <c r="H14" s="108">
        <f t="shared" ca="1" si="0"/>
        <v>100</v>
      </c>
      <c r="I14" s="96" t="s">
        <v>122</v>
      </c>
      <c r="J14" s="96"/>
      <c r="K14" s="108">
        <f t="shared" si="1"/>
        <v>130</v>
      </c>
      <c r="L14" s="106">
        <v>103.05294999999998</v>
      </c>
      <c r="M14" s="106">
        <v>22.181249999999999</v>
      </c>
      <c r="N14" s="136">
        <v>57.064583333333324</v>
      </c>
      <c r="O14" s="107">
        <v>10048.653333333334</v>
      </c>
    </row>
    <row r="15" spans="1:15">
      <c r="D15" s="131"/>
      <c r="E15" s="96"/>
      <c r="F15" s="96"/>
      <c r="G15" s="109"/>
      <c r="H15" s="108" t="str">
        <f t="shared" ca="1" si="0"/>
        <v/>
      </c>
      <c r="I15" s="96"/>
      <c r="J15" s="96"/>
      <c r="K15" s="108"/>
      <c r="L15" s="106"/>
      <c r="M15" s="106"/>
      <c r="N15" s="136"/>
      <c r="O15" s="107"/>
    </row>
    <row r="16" spans="1:15">
      <c r="D16" s="131"/>
      <c r="E16" s="96" t="str">
        <f>"Average number of contacts per case +/- "&amp;SAparam*100&amp;"%"</f>
        <v>Average number of contacts per case +/- 30%</v>
      </c>
      <c r="F16" s="96" t="s">
        <v>112</v>
      </c>
      <c r="G16" s="108">
        <v>5</v>
      </c>
      <c r="H16" s="108">
        <f t="shared" ca="1" si="0"/>
        <v>5</v>
      </c>
      <c r="I16" s="96" t="s">
        <v>123</v>
      </c>
      <c r="J16" s="96"/>
      <c r="K16" s="108">
        <f t="shared" si="1"/>
        <v>3.5</v>
      </c>
      <c r="L16" s="106">
        <v>62.090875000000004</v>
      </c>
      <c r="M16" s="106">
        <v>17.0625</v>
      </c>
      <c r="N16" s="136">
        <v>30.727083333333336</v>
      </c>
      <c r="O16" s="107">
        <v>6053.2333333333336</v>
      </c>
    </row>
    <row r="17" spans="4:15">
      <c r="D17" s="131"/>
      <c r="E17" s="96"/>
      <c r="F17" s="96"/>
      <c r="G17" s="108"/>
      <c r="H17" s="108" t="str">
        <f t="shared" ca="1" si="0"/>
        <v/>
      </c>
      <c r="I17" s="96"/>
      <c r="J17" s="96"/>
      <c r="K17" s="108"/>
      <c r="L17" s="106"/>
      <c r="M17" s="106"/>
      <c r="N17" s="136"/>
      <c r="O17" s="107"/>
    </row>
    <row r="18" spans="4:15">
      <c r="D18" s="131"/>
      <c r="E18" s="96" t="str">
        <f>"Average number of contacts per case +/- "&amp;SAparam*100&amp;"%"</f>
        <v>Average number of contacts per case +/- 30%</v>
      </c>
      <c r="F18" s="96" t="s">
        <v>111</v>
      </c>
      <c r="G18" s="108">
        <v>5</v>
      </c>
      <c r="H18" s="108">
        <f t="shared" ca="1" si="0"/>
        <v>5</v>
      </c>
      <c r="I18" s="96" t="s">
        <v>123</v>
      </c>
      <c r="J18" s="96"/>
      <c r="K18" s="108">
        <f t="shared" si="1"/>
        <v>6.5</v>
      </c>
      <c r="L18" s="106">
        <v>96.452125000000009</v>
      </c>
      <c r="M18" s="106">
        <v>17.0625</v>
      </c>
      <c r="N18" s="136">
        <v>57.064583333333324</v>
      </c>
      <c r="O18" s="107">
        <v>9406.2333333333336</v>
      </c>
    </row>
    <row r="19" spans="4:15">
      <c r="D19" s="131"/>
      <c r="E19" s="96"/>
      <c r="F19" s="96"/>
      <c r="G19" s="108"/>
      <c r="H19" s="108" t="str">
        <f t="shared" ca="1" si="0"/>
        <v/>
      </c>
      <c r="I19" s="96"/>
      <c r="J19" s="96"/>
      <c r="K19" s="108"/>
      <c r="L19" s="106"/>
      <c r="M19" s="106"/>
      <c r="N19" s="136"/>
      <c r="O19" s="107"/>
    </row>
    <row r="20" spans="4:15">
      <c r="D20" s="131" t="s">
        <v>79</v>
      </c>
      <c r="E20" s="96" t="str">
        <f>"Proportion of cases reached +/- "&amp;SAparam*100&amp;"%"</f>
        <v>Proportion of cases reached +/- 30%</v>
      </c>
      <c r="F20" s="96" t="s">
        <v>112</v>
      </c>
      <c r="G20" s="108">
        <v>0.7</v>
      </c>
      <c r="H20" s="108">
        <f t="shared" ca="1" si="0"/>
        <v>0.7</v>
      </c>
      <c r="I20" s="96" t="s">
        <v>124</v>
      </c>
      <c r="J20" s="96"/>
      <c r="K20" s="108">
        <f t="shared" si="1"/>
        <v>0.49</v>
      </c>
      <c r="L20" s="106">
        <v>57.415050000000001</v>
      </c>
      <c r="M20" s="106">
        <v>13.69375</v>
      </c>
      <c r="N20" s="136">
        <v>30.727083333333336</v>
      </c>
      <c r="O20" s="107">
        <v>5590.8133333333326</v>
      </c>
    </row>
    <row r="21" spans="4:15">
      <c r="D21" s="131"/>
      <c r="E21" s="96"/>
      <c r="F21" s="96"/>
      <c r="G21" s="108"/>
      <c r="H21" s="108" t="str">
        <f t="shared" ca="1" si="0"/>
        <v/>
      </c>
      <c r="I21" s="96"/>
      <c r="J21" s="96"/>
      <c r="K21" s="108"/>
      <c r="L21" s="106"/>
      <c r="M21" s="106"/>
      <c r="N21" s="136"/>
      <c r="O21" s="107"/>
    </row>
    <row r="22" spans="4:15">
      <c r="D22" s="131"/>
      <c r="E22" s="96" t="str">
        <f>"Proportion of cases reached +/- "&amp;SAparam*100&amp;"%"</f>
        <v>Proportion of cases reached +/- 30%</v>
      </c>
      <c r="F22" s="96" t="s">
        <v>111</v>
      </c>
      <c r="G22" s="108">
        <v>0.7</v>
      </c>
      <c r="H22" s="108">
        <f t="shared" ca="1" si="0"/>
        <v>0.7</v>
      </c>
      <c r="I22" s="96" t="s">
        <v>124</v>
      </c>
      <c r="J22" s="96"/>
      <c r="K22" s="108">
        <f t="shared" si="1"/>
        <v>0.90999999999999992</v>
      </c>
      <c r="L22" s="106">
        <v>101.12794999999998</v>
      </c>
      <c r="M22" s="106">
        <v>20.431249999999999</v>
      </c>
      <c r="N22" s="136">
        <v>57.064583333333324</v>
      </c>
      <c r="O22" s="107">
        <v>9868.6533333333336</v>
      </c>
    </row>
    <row r="23" spans="4:15">
      <c r="D23" s="131"/>
      <c r="E23" s="96"/>
      <c r="F23" s="96"/>
      <c r="G23" s="108"/>
      <c r="H23" s="108" t="str">
        <f t="shared" ca="1" si="0"/>
        <v/>
      </c>
      <c r="I23" s="96"/>
      <c r="J23" s="96"/>
      <c r="K23" s="108"/>
      <c r="L23" s="106"/>
      <c r="M23" s="106"/>
      <c r="N23" s="136"/>
      <c r="O23" s="107"/>
    </row>
    <row r="24" spans="4:15">
      <c r="D24" s="131"/>
      <c r="E24" s="96" t="str">
        <f>"Minutes spent on each case reached +/- "&amp;SAparam*100&amp;"%"</f>
        <v>Minutes spent on each case reached +/- 30%</v>
      </c>
      <c r="F24" s="96" t="s">
        <v>112</v>
      </c>
      <c r="G24" s="108">
        <v>75</v>
      </c>
      <c r="H24" s="108">
        <f t="shared" ca="1" si="0"/>
        <v>75</v>
      </c>
      <c r="I24" s="96" t="s">
        <v>125</v>
      </c>
      <c r="J24" s="96"/>
      <c r="K24" s="108">
        <f t="shared" si="1"/>
        <v>52.5</v>
      </c>
      <c r="L24" s="106">
        <v>74.218374999999995</v>
      </c>
      <c r="M24" s="106">
        <v>12.46875</v>
      </c>
      <c r="N24" s="136">
        <v>43.895833333333336</v>
      </c>
      <c r="O24" s="107">
        <v>7257.2333333333336</v>
      </c>
    </row>
    <row r="25" spans="4:15">
      <c r="D25" s="131"/>
      <c r="E25" s="96"/>
      <c r="F25" s="96"/>
      <c r="G25" s="108"/>
      <c r="H25" s="108"/>
      <c r="I25" s="96"/>
      <c r="J25" s="96"/>
      <c r="K25" s="108"/>
      <c r="L25" s="106"/>
      <c r="M25" s="106"/>
      <c r="N25" s="136"/>
      <c r="O25" s="107"/>
    </row>
    <row r="26" spans="4:15">
      <c r="D26" s="131"/>
      <c r="E26" s="96" t="str">
        <f>"Minutes spent on each case reached +/- "&amp;SAparam*100&amp;"%"</f>
        <v>Minutes spent on each case reached +/- 30%</v>
      </c>
      <c r="F26" s="96" t="s">
        <v>111</v>
      </c>
      <c r="G26" s="108">
        <v>75</v>
      </c>
      <c r="H26" s="108">
        <f ca="1">IFERROR(INDIRECT(I26),"")</f>
        <v>75</v>
      </c>
      <c r="I26" s="96" t="s">
        <v>125</v>
      </c>
      <c r="J26" s="96"/>
      <c r="K26" s="108">
        <f t="shared" si="1"/>
        <v>97.5</v>
      </c>
      <c r="L26" s="106">
        <v>84.324625000000012</v>
      </c>
      <c r="M26" s="106">
        <v>21.65625</v>
      </c>
      <c r="N26" s="136">
        <v>43.895833333333336</v>
      </c>
      <c r="O26" s="107">
        <v>8202.2333333333336</v>
      </c>
    </row>
    <row r="27" spans="4:15">
      <c r="D27" s="131"/>
      <c r="E27" s="96"/>
      <c r="F27" s="96"/>
      <c r="G27" s="108"/>
      <c r="H27" s="108" t="str">
        <f t="shared" ref="H27:H86" ca="1" si="2">IFERROR(INDIRECT(I27),"")</f>
        <v/>
      </c>
      <c r="I27" s="96"/>
      <c r="J27" s="96"/>
      <c r="K27" s="108"/>
      <c r="L27" s="106"/>
      <c r="M27" s="106"/>
      <c r="N27" s="136"/>
      <c r="O27" s="107"/>
    </row>
    <row r="28" spans="4:15">
      <c r="D28" s="131"/>
      <c r="E28" s="96" t="str">
        <f>"Minutes spent on each case not reached"&amp;" +/- "&amp;SAparam*100&amp;"%"</f>
        <v>Minutes spent on each case not reached +/- 30%</v>
      </c>
      <c r="F28" s="96" t="s">
        <v>112</v>
      </c>
      <c r="G28" s="108">
        <v>20</v>
      </c>
      <c r="H28" s="108">
        <f t="shared" ca="1" si="2"/>
        <v>20</v>
      </c>
      <c r="I28" s="96" t="s">
        <v>126</v>
      </c>
      <c r="J28" s="96"/>
      <c r="K28" s="108">
        <f t="shared" si="1"/>
        <v>14</v>
      </c>
      <c r="L28" s="106">
        <v>78.694000000000003</v>
      </c>
      <c r="M28" s="106">
        <v>16.537500000000001</v>
      </c>
      <c r="N28" s="136">
        <v>43.895833333333336</v>
      </c>
      <c r="O28" s="107">
        <v>7675.7333333333336</v>
      </c>
    </row>
    <row r="29" spans="4:15">
      <c r="D29" s="131"/>
      <c r="E29" s="96"/>
      <c r="F29" s="96"/>
      <c r="G29" s="108"/>
      <c r="H29" s="108" t="str">
        <f t="shared" ca="1" si="2"/>
        <v/>
      </c>
      <c r="I29" s="96"/>
      <c r="J29" s="96"/>
      <c r="K29" s="108"/>
      <c r="L29" s="106"/>
      <c r="M29" s="106"/>
      <c r="N29" s="136"/>
      <c r="O29" s="107"/>
    </row>
    <row r="30" spans="4:15">
      <c r="D30" s="131"/>
      <c r="E30" s="96" t="str">
        <f>"Minutes spent on each case not reached"&amp;" +/- "&amp;SAparam*100&amp;"%"</f>
        <v>Minutes spent on each case not reached +/- 30%</v>
      </c>
      <c r="F30" s="96" t="s">
        <v>111</v>
      </c>
      <c r="G30" s="108">
        <v>20</v>
      </c>
      <c r="H30" s="108">
        <f t="shared" ca="1" si="2"/>
        <v>20</v>
      </c>
      <c r="I30" s="96" t="s">
        <v>126</v>
      </c>
      <c r="J30" s="96"/>
      <c r="K30" s="108">
        <f t="shared" si="1"/>
        <v>26</v>
      </c>
      <c r="L30" s="106">
        <v>79.849000000000004</v>
      </c>
      <c r="M30" s="106">
        <v>17.587499999999999</v>
      </c>
      <c r="N30" s="136">
        <v>43.895833333333336</v>
      </c>
      <c r="O30" s="107">
        <v>7783.7333333333336</v>
      </c>
    </row>
    <row r="31" spans="4:15">
      <c r="D31" s="131"/>
      <c r="E31" s="96"/>
      <c r="F31" s="96"/>
      <c r="G31" s="108"/>
      <c r="H31" s="108" t="str">
        <f t="shared" ca="1" si="2"/>
        <v/>
      </c>
      <c r="I31" s="96"/>
      <c r="J31" s="96"/>
      <c r="K31" s="108"/>
      <c r="L31" s="106"/>
      <c r="M31" s="106"/>
      <c r="N31" s="136"/>
      <c r="O31" s="107"/>
    </row>
    <row r="32" spans="4:15" ht="30">
      <c r="D32" s="131" t="s">
        <v>80</v>
      </c>
      <c r="E32" s="96" t="str">
        <f>"Proportion of contacts reached"&amp;" +/- "&amp;SAparam*100&amp;"%"</f>
        <v>Proportion of contacts reached +/- 30%</v>
      </c>
      <c r="F32" s="96" t="s">
        <v>112</v>
      </c>
      <c r="G32" s="108">
        <v>0.5</v>
      </c>
      <c r="H32" s="108">
        <f t="shared" ca="1" si="2"/>
        <v>0.5</v>
      </c>
      <c r="I32" s="96" t="s">
        <v>127</v>
      </c>
      <c r="J32" s="96"/>
      <c r="K32" s="108">
        <f t="shared" si="1"/>
        <v>0.35</v>
      </c>
      <c r="L32" s="106">
        <v>68.828374999999994</v>
      </c>
      <c r="M32" s="106">
        <v>17.0625</v>
      </c>
      <c r="N32" s="136">
        <v>36.852083333333333</v>
      </c>
      <c r="O32" s="107">
        <v>6683.2333333333336</v>
      </c>
    </row>
    <row r="33" spans="4:15">
      <c r="D33" s="131"/>
      <c r="E33" s="96"/>
      <c r="F33" s="96"/>
      <c r="G33" s="108"/>
      <c r="H33" s="108" t="str">
        <f t="shared" ca="1" si="2"/>
        <v/>
      </c>
      <c r="I33" s="96"/>
      <c r="J33" s="96"/>
      <c r="K33" s="108"/>
      <c r="L33" s="106"/>
      <c r="M33" s="106"/>
      <c r="N33" s="136"/>
      <c r="O33" s="107"/>
    </row>
    <row r="34" spans="4:15">
      <c r="D34" s="131"/>
      <c r="E34" s="96" t="str">
        <f>"Proportion of contacts reached"&amp;" +/- "&amp;SAparam*100&amp;"%"</f>
        <v>Proportion of contacts reached +/- 30%</v>
      </c>
      <c r="F34" s="96" t="s">
        <v>111</v>
      </c>
      <c r="G34" s="108">
        <v>0.5</v>
      </c>
      <c r="H34" s="108">
        <f t="shared" ca="1" si="2"/>
        <v>0.5</v>
      </c>
      <c r="I34" s="96" t="s">
        <v>127</v>
      </c>
      <c r="J34" s="96"/>
      <c r="K34" s="108">
        <f t="shared" si="1"/>
        <v>0.65</v>
      </c>
      <c r="L34" s="106">
        <v>89.714624999999998</v>
      </c>
      <c r="M34" s="106">
        <v>17.0625</v>
      </c>
      <c r="N34" s="136">
        <v>50.939583333333331</v>
      </c>
      <c r="O34" s="107">
        <v>8776.2333333333336</v>
      </c>
    </row>
    <row r="35" spans="4:15">
      <c r="D35" s="131"/>
      <c r="E35" s="96"/>
      <c r="F35" s="96"/>
      <c r="G35" s="108"/>
      <c r="H35" s="108" t="str">
        <f t="shared" ca="1" si="2"/>
        <v/>
      </c>
      <c r="I35" s="96"/>
      <c r="J35" s="96"/>
      <c r="K35" s="108"/>
      <c r="L35" s="106"/>
      <c r="M35" s="106"/>
      <c r="N35" s="136"/>
      <c r="O35" s="107"/>
    </row>
    <row r="36" spans="4:15">
      <c r="D36" s="131"/>
      <c r="E36" s="96" t="str">
        <f>"Minutes spent on each contact reached"&amp;" +/- "&amp;SAparam*100&amp;"%"</f>
        <v>Minutes spent on each contact reached +/- 30%</v>
      </c>
      <c r="F36" s="96" t="s">
        <v>112</v>
      </c>
      <c r="G36" s="108">
        <v>45</v>
      </c>
      <c r="H36" s="108">
        <f t="shared" ca="1" si="2"/>
        <v>45</v>
      </c>
      <c r="I36" s="96" t="s">
        <v>128</v>
      </c>
      <c r="J36" s="96"/>
      <c r="K36" s="108">
        <f t="shared" si="1"/>
        <v>31.5</v>
      </c>
      <c r="L36" s="106">
        <v>71.691812499999997</v>
      </c>
      <c r="M36" s="106">
        <v>17.0625</v>
      </c>
      <c r="N36" s="136">
        <v>37.005208333333336</v>
      </c>
      <c r="O36" s="107">
        <v>7020.9833333333336</v>
      </c>
    </row>
    <row r="37" spans="4:15">
      <c r="D37" s="131"/>
      <c r="E37" s="96"/>
      <c r="F37" s="96"/>
      <c r="G37" s="108"/>
      <c r="H37" s="108" t="str">
        <f t="shared" ca="1" si="2"/>
        <v/>
      </c>
      <c r="I37" s="96"/>
      <c r="J37" s="96"/>
      <c r="K37" s="108"/>
      <c r="L37" s="106"/>
      <c r="M37" s="106"/>
      <c r="N37" s="136"/>
      <c r="O37" s="107"/>
    </row>
    <row r="38" spans="4:15">
      <c r="D38" s="131"/>
      <c r="E38" s="96" t="str">
        <f>"Minutes spent on each contact reached"&amp;" +/- "&amp;SAparam*100&amp;"%"</f>
        <v>Minutes spent on each contact reached +/- 30%</v>
      </c>
      <c r="F38" s="96" t="s">
        <v>111</v>
      </c>
      <c r="G38" s="108">
        <v>45</v>
      </c>
      <c r="H38" s="108">
        <f t="shared" ca="1" si="2"/>
        <v>45</v>
      </c>
      <c r="I38" s="96" t="s">
        <v>128</v>
      </c>
      <c r="J38" s="96"/>
      <c r="K38" s="108">
        <f t="shared" si="1"/>
        <v>58.5</v>
      </c>
      <c r="L38" s="106">
        <v>86.851187499999995</v>
      </c>
      <c r="M38" s="106">
        <v>17.0625</v>
      </c>
      <c r="N38" s="136">
        <v>50.786458333333329</v>
      </c>
      <c r="O38" s="107">
        <v>8438.4833333333336</v>
      </c>
    </row>
    <row r="39" spans="4:15">
      <c r="D39" s="131"/>
      <c r="E39" s="96"/>
      <c r="F39" s="96"/>
      <c r="G39" s="108"/>
      <c r="H39" s="108" t="str">
        <f t="shared" ca="1" si="2"/>
        <v/>
      </c>
      <c r="I39" s="96"/>
      <c r="J39" s="96"/>
      <c r="K39" s="108"/>
      <c r="L39" s="106"/>
      <c r="M39" s="106"/>
      <c r="N39" s="136"/>
      <c r="O39" s="107"/>
    </row>
    <row r="40" spans="4:15">
      <c r="D40" s="131"/>
      <c r="E40" s="96" t="str">
        <f>"Minutes spent on each contact not reached"&amp;" +/- "&amp;SAparam*100&amp;"%"</f>
        <v>Minutes spent on each contact not reached +/- 30%</v>
      </c>
      <c r="F40" s="96" t="s">
        <v>112</v>
      </c>
      <c r="G40" s="108">
        <v>20</v>
      </c>
      <c r="H40" s="108">
        <f t="shared" ca="1" si="2"/>
        <v>20</v>
      </c>
      <c r="I40" s="96" t="s">
        <v>129</v>
      </c>
      <c r="J40" s="96"/>
      <c r="K40" s="108">
        <f t="shared" si="1"/>
        <v>14</v>
      </c>
      <c r="L40" s="106">
        <v>75.902749999999997</v>
      </c>
      <c r="M40" s="106">
        <v>17.0625</v>
      </c>
      <c r="N40" s="136">
        <v>40.833333333333336</v>
      </c>
      <c r="O40" s="107">
        <v>7414.7333333333336</v>
      </c>
    </row>
    <row r="41" spans="4:15">
      <c r="D41" s="131"/>
      <c r="E41" s="96"/>
      <c r="F41" s="96"/>
      <c r="G41" s="108"/>
      <c r="H41" s="108" t="str">
        <f t="shared" ca="1" si="2"/>
        <v/>
      </c>
      <c r="I41" s="96"/>
      <c r="J41" s="96"/>
      <c r="K41" s="108"/>
      <c r="L41" s="106"/>
      <c r="M41" s="106"/>
      <c r="N41" s="136"/>
      <c r="O41" s="107"/>
    </row>
    <row r="42" spans="4:15">
      <c r="D42" s="131"/>
      <c r="E42" s="96" t="str">
        <f>"Minutes spent on each contact not reached"&amp;" +/- "&amp;SAparam*100&amp;"%"</f>
        <v>Minutes spent on each contact not reached +/- 30%</v>
      </c>
      <c r="F42" s="96" t="s">
        <v>111</v>
      </c>
      <c r="G42" s="108">
        <v>20</v>
      </c>
      <c r="H42" s="108">
        <f t="shared" ca="1" si="2"/>
        <v>20</v>
      </c>
      <c r="I42" s="96" t="s">
        <v>129</v>
      </c>
      <c r="J42" s="96"/>
      <c r="K42" s="108">
        <f t="shared" si="1"/>
        <v>26</v>
      </c>
      <c r="L42" s="106">
        <v>82.640249999999995</v>
      </c>
      <c r="M42" s="106">
        <v>17.0625</v>
      </c>
      <c r="N42" s="136">
        <v>46.958333333333329</v>
      </c>
      <c r="O42" s="107">
        <v>8044.7333333333336</v>
      </c>
    </row>
    <row r="43" spans="4:15">
      <c r="D43" s="131"/>
      <c r="E43" s="96"/>
      <c r="F43" s="96"/>
      <c r="G43" s="108"/>
      <c r="H43" s="108" t="str">
        <f t="shared" ca="1" si="2"/>
        <v/>
      </c>
      <c r="I43" s="96"/>
      <c r="J43" s="96"/>
      <c r="K43" s="108"/>
      <c r="L43" s="106"/>
      <c r="M43" s="106"/>
      <c r="N43" s="136"/>
      <c r="O43" s="107"/>
    </row>
    <row r="44" spans="4:15" ht="30">
      <c r="D44" s="131" t="s">
        <v>81</v>
      </c>
      <c r="E44" s="96" t="str">
        <f>"Number of follow-up calls"&amp;" +/- "&amp;SAparam*100&amp;"%"</f>
        <v>Number of follow-up calls +/- 30%</v>
      </c>
      <c r="F44" s="96" t="s">
        <v>112</v>
      </c>
      <c r="G44" s="108">
        <v>2</v>
      </c>
      <c r="H44" s="108">
        <f t="shared" ca="1" si="2"/>
        <v>2</v>
      </c>
      <c r="I44" s="96" t="s">
        <v>130</v>
      </c>
      <c r="J44" s="96"/>
      <c r="K44" s="108">
        <f t="shared" ref="K44:K70" si="3">IFERROR(IF(F44="Low",G44-G44*SAparam,G44+G44*SAparam),"")</f>
        <v>1.4</v>
      </c>
      <c r="L44" s="106">
        <v>75.902749999999997</v>
      </c>
      <c r="M44" s="106">
        <v>17.0625</v>
      </c>
      <c r="N44" s="136">
        <v>40.833333333333336</v>
      </c>
      <c r="O44" s="107">
        <v>7414.7333333333336</v>
      </c>
    </row>
    <row r="45" spans="4:15">
      <c r="D45" s="131"/>
      <c r="E45" s="96"/>
      <c r="F45" s="96"/>
      <c r="G45" s="108"/>
      <c r="H45" s="108" t="str">
        <f t="shared" ca="1" si="2"/>
        <v/>
      </c>
      <c r="I45" s="96"/>
      <c r="J45" s="96"/>
      <c r="K45" s="108"/>
      <c r="L45" s="106"/>
      <c r="M45" s="106"/>
      <c r="N45" s="136"/>
      <c r="O45" s="107"/>
    </row>
    <row r="46" spans="4:15">
      <c r="D46" s="131"/>
      <c r="E46" s="96" t="str">
        <f>"Number of follow-up calls"&amp;" +/- "&amp;SAparam*100&amp;"%"</f>
        <v>Number of follow-up calls +/- 30%</v>
      </c>
      <c r="F46" s="96" t="s">
        <v>111</v>
      </c>
      <c r="G46" s="108">
        <v>2</v>
      </c>
      <c r="H46" s="108">
        <f t="shared" ca="1" si="2"/>
        <v>2</v>
      </c>
      <c r="I46" s="96" t="s">
        <v>130</v>
      </c>
      <c r="J46" s="96"/>
      <c r="K46" s="108">
        <f t="shared" si="3"/>
        <v>2.6</v>
      </c>
      <c r="L46" s="106">
        <v>82.640249999999995</v>
      </c>
      <c r="M46" s="106">
        <v>17.0625</v>
      </c>
      <c r="N46" s="136">
        <v>46.958333333333329</v>
      </c>
      <c r="O46" s="107">
        <v>8044.7333333333336</v>
      </c>
    </row>
    <row r="47" spans="4:15">
      <c r="D47" s="131"/>
      <c r="E47" s="96"/>
      <c r="F47" s="96"/>
      <c r="G47" s="108"/>
      <c r="H47" s="108" t="str">
        <f t="shared" ca="1" si="2"/>
        <v/>
      </c>
      <c r="I47" s="96"/>
      <c r="J47" s="96"/>
      <c r="K47" s="108"/>
      <c r="L47" s="106"/>
      <c r="M47" s="106"/>
      <c r="N47" s="136"/>
      <c r="O47" s="107"/>
    </row>
    <row r="48" spans="4:15">
      <c r="D48" s="131"/>
      <c r="E48" s="96" t="str">
        <f>"Minutes spent on each follow-up call"&amp;" +/- "&amp;SAparam*100&amp;"%"</f>
        <v>Minutes spent on each follow-up call +/- 30%</v>
      </c>
      <c r="F48" s="96" t="s">
        <v>112</v>
      </c>
      <c r="G48" s="108">
        <v>10</v>
      </c>
      <c r="H48" s="108">
        <f t="shared" ca="1" si="2"/>
        <v>10</v>
      </c>
      <c r="I48" s="96" t="s">
        <v>131</v>
      </c>
      <c r="J48" s="96"/>
      <c r="K48" s="108">
        <f t="shared" si="3"/>
        <v>7</v>
      </c>
      <c r="L48" s="106">
        <v>75.902749999999997</v>
      </c>
      <c r="M48" s="106">
        <v>17.0625</v>
      </c>
      <c r="N48" s="136">
        <v>40.833333333333336</v>
      </c>
      <c r="O48" s="107">
        <v>7414.7333333333336</v>
      </c>
    </row>
    <row r="49" spans="4:15">
      <c r="D49" s="131"/>
      <c r="E49" s="96"/>
      <c r="F49" s="96"/>
      <c r="G49" s="108"/>
      <c r="H49" s="108" t="str">
        <f t="shared" ca="1" si="2"/>
        <v/>
      </c>
      <c r="I49" s="96"/>
      <c r="J49" s="96"/>
      <c r="K49" s="108"/>
      <c r="L49" s="106"/>
      <c r="M49" s="106"/>
      <c r="N49" s="136"/>
      <c r="O49" s="107"/>
    </row>
    <row r="50" spans="4:15">
      <c r="D50" s="131"/>
      <c r="E50" s="96" t="str">
        <f>"Minutes spent on each follow-up call"&amp;" +/- "&amp;SAparam*100&amp;"%"</f>
        <v>Minutes spent on each follow-up call +/- 30%</v>
      </c>
      <c r="F50" s="96" t="s">
        <v>111</v>
      </c>
      <c r="G50" s="108">
        <v>10</v>
      </c>
      <c r="H50" s="108">
        <f t="shared" ca="1" si="2"/>
        <v>10</v>
      </c>
      <c r="I50" s="96" t="s">
        <v>131</v>
      </c>
      <c r="J50" s="96"/>
      <c r="K50" s="108">
        <f t="shared" si="3"/>
        <v>13</v>
      </c>
      <c r="L50" s="106">
        <v>82.640249999999995</v>
      </c>
      <c r="M50" s="106">
        <v>17.0625</v>
      </c>
      <c r="N50" s="136">
        <v>46.958333333333329</v>
      </c>
      <c r="O50" s="107">
        <v>8044.7333333333336</v>
      </c>
    </row>
    <row r="51" spans="4:15">
      <c r="D51" s="131"/>
      <c r="E51" s="96"/>
      <c r="F51" s="96"/>
      <c r="G51" s="108"/>
      <c r="H51" s="108" t="str">
        <f t="shared" ca="1" si="2"/>
        <v/>
      </c>
      <c r="I51" s="96"/>
      <c r="J51" s="96"/>
      <c r="K51" s="108"/>
      <c r="L51" s="106"/>
      <c r="M51" s="106"/>
      <c r="N51" s="136"/>
      <c r="O51" s="107"/>
    </row>
    <row r="52" spans="4:15">
      <c r="D52" s="131"/>
      <c r="E52" s="96" t="str">
        <f>"Number of follow-up text messages"&amp;" +/- "&amp;SAparam*100&amp;"%"</f>
        <v>Number of follow-up text messages +/- 30%</v>
      </c>
      <c r="F52" s="96" t="s">
        <v>112</v>
      </c>
      <c r="G52" s="108">
        <v>1</v>
      </c>
      <c r="H52" s="108">
        <f t="shared" ca="1" si="2"/>
        <v>1</v>
      </c>
      <c r="I52" s="96" t="s">
        <v>132</v>
      </c>
      <c r="J52" s="96"/>
      <c r="K52" s="108">
        <f t="shared" si="3"/>
        <v>0.7</v>
      </c>
      <c r="L52" s="106">
        <v>79.103062500000007</v>
      </c>
      <c r="M52" s="106">
        <v>17.0625</v>
      </c>
      <c r="N52" s="136">
        <v>43.74270833333334</v>
      </c>
      <c r="O52" s="107">
        <v>7713.9833333333345</v>
      </c>
    </row>
    <row r="53" spans="4:15">
      <c r="D53" s="131"/>
      <c r="E53" s="96"/>
      <c r="F53" s="96"/>
      <c r="G53" s="108"/>
      <c r="H53" s="108" t="str">
        <f t="shared" ca="1" si="2"/>
        <v/>
      </c>
      <c r="I53" s="96"/>
      <c r="J53" s="96"/>
      <c r="K53" s="108"/>
      <c r="L53" s="106"/>
      <c r="M53" s="106"/>
      <c r="N53" s="136"/>
      <c r="O53" s="107"/>
    </row>
    <row r="54" spans="4:15">
      <c r="D54" s="131"/>
      <c r="E54" s="96" t="str">
        <f>"Number of follow-up text messages"&amp;" +/- "&amp;SAparam*100&amp;"%"</f>
        <v>Number of follow-up text messages +/- 30%</v>
      </c>
      <c r="F54" s="96" t="s">
        <v>111</v>
      </c>
      <c r="G54" s="108">
        <v>1</v>
      </c>
      <c r="H54" s="108">
        <f t="shared" ca="1" si="2"/>
        <v>1</v>
      </c>
      <c r="I54" s="96" t="s">
        <v>132</v>
      </c>
      <c r="J54" s="96"/>
      <c r="K54" s="108">
        <f t="shared" si="3"/>
        <v>1.3</v>
      </c>
      <c r="L54" s="106">
        <v>79.439937499999999</v>
      </c>
      <c r="M54" s="106">
        <v>17.0625</v>
      </c>
      <c r="N54" s="136">
        <v>44.048958333333339</v>
      </c>
      <c r="O54" s="107">
        <v>7745.4833333333336</v>
      </c>
    </row>
    <row r="55" spans="4:15">
      <c r="D55" s="131"/>
      <c r="E55" s="96"/>
      <c r="F55" s="96"/>
      <c r="G55" s="108"/>
      <c r="H55" s="108" t="str">
        <f t="shared" ca="1" si="2"/>
        <v/>
      </c>
      <c r="I55" s="96"/>
      <c r="J55" s="96"/>
      <c r="K55" s="108"/>
      <c r="L55" s="106"/>
      <c r="M55" s="106"/>
      <c r="N55" s="136"/>
      <c r="O55" s="107"/>
    </row>
    <row r="56" spans="4:15">
      <c r="D56" s="131"/>
      <c r="E56" s="96" t="str">
        <f>"Minutes spent on each follow-up text message"&amp;" +/- "&amp;SAparam*100&amp;"%"</f>
        <v>Minutes spent on each follow-up text message +/- 30%</v>
      </c>
      <c r="F56" s="96" t="s">
        <v>112</v>
      </c>
      <c r="G56" s="108">
        <v>1</v>
      </c>
      <c r="H56" s="108">
        <f t="shared" ca="1" si="2"/>
        <v>1</v>
      </c>
      <c r="I56" s="96" t="s">
        <v>133</v>
      </c>
      <c r="J56" s="96"/>
      <c r="K56" s="108">
        <f t="shared" si="3"/>
        <v>0.7</v>
      </c>
      <c r="L56" s="106">
        <v>79.103062500000007</v>
      </c>
      <c r="M56" s="106">
        <v>17.0625</v>
      </c>
      <c r="N56" s="136">
        <v>43.74270833333334</v>
      </c>
      <c r="O56" s="107">
        <v>7713.9833333333345</v>
      </c>
    </row>
    <row r="57" spans="4:15">
      <c r="D57" s="131"/>
      <c r="E57" s="96"/>
      <c r="F57" s="96"/>
      <c r="G57" s="108"/>
      <c r="H57" s="108" t="str">
        <f t="shared" ca="1" si="2"/>
        <v/>
      </c>
      <c r="I57" s="96"/>
      <c r="J57" s="96"/>
      <c r="K57" s="108"/>
      <c r="L57" s="106"/>
      <c r="M57" s="106"/>
      <c r="N57" s="136"/>
      <c r="O57" s="107"/>
    </row>
    <row r="58" spans="4:15">
      <c r="D58" s="131"/>
      <c r="E58" s="96" t="str">
        <f>"Minutes spent on each follow-up text message"&amp;" +/- "&amp;SAparam*100&amp;"%"</f>
        <v>Minutes spent on each follow-up text message +/- 30%</v>
      </c>
      <c r="F58" s="96" t="s">
        <v>111</v>
      </c>
      <c r="G58" s="108">
        <v>1</v>
      </c>
      <c r="H58" s="108">
        <f t="shared" ca="1" si="2"/>
        <v>1</v>
      </c>
      <c r="I58" s="96" t="s">
        <v>133</v>
      </c>
      <c r="J58" s="96"/>
      <c r="K58" s="108">
        <f t="shared" si="3"/>
        <v>1.3</v>
      </c>
      <c r="L58" s="106">
        <v>79.439937499999999</v>
      </c>
      <c r="M58" s="106">
        <v>17.0625</v>
      </c>
      <c r="N58" s="136">
        <v>44.048958333333339</v>
      </c>
      <c r="O58" s="107">
        <v>7745.4833333333336</v>
      </c>
    </row>
    <row r="59" spans="4:15">
      <c r="D59" s="131"/>
      <c r="E59" s="96"/>
      <c r="F59" s="96"/>
      <c r="G59" s="108"/>
      <c r="H59" s="108" t="str">
        <f t="shared" ca="1" si="2"/>
        <v/>
      </c>
      <c r="I59" s="96"/>
      <c r="J59" s="96"/>
      <c r="K59" s="108"/>
      <c r="L59" s="106"/>
      <c r="M59" s="106"/>
      <c r="N59" s="136"/>
      <c r="O59" s="107"/>
    </row>
    <row r="60" spans="4:15">
      <c r="D60" s="132" t="s">
        <v>102</v>
      </c>
      <c r="E60" s="96" t="str">
        <f>"Proportion of cases requesting coodinators"&amp;" +/- "&amp;SAparam*100&amp;"%"</f>
        <v>Proportion of cases requesting coodinators +/- 30%</v>
      </c>
      <c r="F60" s="96" t="s">
        <v>112</v>
      </c>
      <c r="G60" s="108">
        <v>0.09</v>
      </c>
      <c r="H60" s="108">
        <f t="shared" ca="1" si="2"/>
        <v>0.09</v>
      </c>
      <c r="I60" s="96" t="s">
        <v>134</v>
      </c>
      <c r="J60" s="96"/>
      <c r="K60" s="108">
        <f t="shared" si="3"/>
        <v>6.3E-2</v>
      </c>
      <c r="L60" s="106">
        <v>78.301300000000012</v>
      </c>
      <c r="M60" s="106">
        <v>17.0625</v>
      </c>
      <c r="N60" s="136">
        <v>43.895833333333336</v>
      </c>
      <c r="O60" s="107">
        <v>7613.8133333333326</v>
      </c>
    </row>
    <row r="61" spans="4:15">
      <c r="D61" s="131"/>
      <c r="E61" s="96"/>
      <c r="F61" s="96"/>
      <c r="G61" s="108"/>
      <c r="H61" s="108" t="str">
        <f t="shared" ca="1" si="2"/>
        <v/>
      </c>
      <c r="I61" s="96"/>
      <c r="J61" s="96"/>
      <c r="K61" s="108"/>
      <c r="L61" s="106"/>
      <c r="M61" s="106"/>
      <c r="N61" s="136"/>
      <c r="O61" s="107"/>
    </row>
    <row r="62" spans="4:15">
      <c r="D62" s="133"/>
      <c r="E62" s="96" t="str">
        <f>"Proportion of cases requesting coodinators"&amp;" +/- "&amp;SAparam*100&amp;"%"</f>
        <v>Proportion of cases requesting coodinators +/- 30%</v>
      </c>
      <c r="F62" s="96" t="s">
        <v>111</v>
      </c>
      <c r="G62" s="108">
        <v>0.09</v>
      </c>
      <c r="H62" s="108">
        <f t="shared" ca="1" si="2"/>
        <v>0.09</v>
      </c>
      <c r="I62" s="96" t="s">
        <v>134</v>
      </c>
      <c r="J62" s="96"/>
      <c r="K62" s="108">
        <f t="shared" si="3"/>
        <v>0.11699999999999999</v>
      </c>
      <c r="L62" s="106">
        <v>80.241700000000009</v>
      </c>
      <c r="M62" s="106">
        <v>17.0625</v>
      </c>
      <c r="N62" s="136">
        <v>43.895833333333336</v>
      </c>
      <c r="O62" s="107">
        <v>7845.6533333333336</v>
      </c>
    </row>
    <row r="63" spans="4:15">
      <c r="D63" s="131"/>
      <c r="E63" s="96"/>
      <c r="F63" s="96"/>
      <c r="G63" s="108"/>
      <c r="H63" s="108" t="str">
        <f t="shared" ca="1" si="2"/>
        <v/>
      </c>
      <c r="I63" s="96"/>
      <c r="J63" s="96"/>
      <c r="K63" s="108"/>
      <c r="L63" s="106"/>
      <c r="M63" s="106"/>
      <c r="N63" s="136"/>
      <c r="O63" s="107"/>
    </row>
    <row r="64" spans="4:15">
      <c r="D64" s="131"/>
      <c r="E64" s="96" t="str">
        <f>"Proportion of contacts requesting coordinators"&amp;" +/- "&amp;SAparam*100&amp;"%"</f>
        <v>Proportion of contacts requesting coordinators +/- 30%</v>
      </c>
      <c r="F64" s="96" t="s">
        <v>112</v>
      </c>
      <c r="G64" s="108">
        <v>0.1</v>
      </c>
      <c r="H64" s="108">
        <f t="shared" ca="1" si="2"/>
        <v>0.1</v>
      </c>
      <c r="I64" s="96" t="s">
        <v>223</v>
      </c>
      <c r="J64" s="96"/>
      <c r="K64" s="108">
        <f t="shared" si="3"/>
        <v>7.0000000000000007E-2</v>
      </c>
      <c r="L64" s="106">
        <v>76.57650000000001</v>
      </c>
      <c r="M64" s="106">
        <v>17.0625</v>
      </c>
      <c r="N64" s="136">
        <v>43.895833333333336</v>
      </c>
      <c r="O64" s="107">
        <v>7407.7333333333336</v>
      </c>
    </row>
    <row r="65" spans="4:15">
      <c r="D65" s="131"/>
      <c r="E65" s="96"/>
      <c r="F65" s="96"/>
      <c r="G65" s="108"/>
      <c r="H65" s="108" t="str">
        <f t="shared" ca="1" si="2"/>
        <v/>
      </c>
      <c r="I65" s="96"/>
      <c r="J65" s="96"/>
      <c r="K65" s="108"/>
      <c r="L65" s="106"/>
      <c r="M65" s="106"/>
      <c r="N65" s="136"/>
      <c r="O65" s="107"/>
    </row>
    <row r="66" spans="4:15">
      <c r="D66" s="131"/>
      <c r="E66" s="96" t="str">
        <f>"Proportion of contacts requesting coordinators"&amp;" +/- "&amp;SAparam*100&amp;"%"</f>
        <v>Proportion of contacts requesting coordinators +/- 30%</v>
      </c>
      <c r="F66" s="96" t="s">
        <v>111</v>
      </c>
      <c r="G66" s="108">
        <v>0.1</v>
      </c>
      <c r="H66" s="108">
        <f t="shared" ca="1" si="2"/>
        <v>0.1</v>
      </c>
      <c r="I66" s="96" t="s">
        <v>223</v>
      </c>
      <c r="J66" s="96"/>
      <c r="K66" s="108">
        <f t="shared" si="3"/>
        <v>0.13</v>
      </c>
      <c r="L66" s="106">
        <v>81.966499999999996</v>
      </c>
      <c r="M66" s="106">
        <v>17.0625</v>
      </c>
      <c r="N66" s="136">
        <v>43.895833333333336</v>
      </c>
      <c r="O66" s="107">
        <v>8051.7333333333336</v>
      </c>
    </row>
    <row r="67" spans="4:15">
      <c r="D67" s="131"/>
      <c r="E67" s="96"/>
      <c r="F67" s="96"/>
      <c r="G67" s="108"/>
      <c r="H67" s="108" t="str">
        <f t="shared" ca="1" si="2"/>
        <v/>
      </c>
      <c r="I67" s="96"/>
      <c r="J67" s="96"/>
      <c r="K67" s="108"/>
      <c r="L67" s="106"/>
      <c r="M67" s="106"/>
      <c r="N67" s="136"/>
      <c r="O67" s="107"/>
    </row>
    <row r="68" spans="4:15">
      <c r="D68" s="131"/>
      <c r="E68" s="96" t="str">
        <f>"Number of cases per resource coordinator per day "&amp;" +/- "&amp;SAparam*100&amp;"%"</f>
        <v>Number of cases per resource coordinator per day  +/- 30%</v>
      </c>
      <c r="F68" s="96" t="s">
        <v>112</v>
      </c>
      <c r="G68" s="108">
        <v>3</v>
      </c>
      <c r="H68" s="108">
        <f t="shared" ca="1" si="2"/>
        <v>3</v>
      </c>
      <c r="I68" s="96" t="s">
        <v>224</v>
      </c>
      <c r="J68" s="96"/>
      <c r="K68" s="108">
        <f t="shared" si="3"/>
        <v>2.1</v>
      </c>
      <c r="L68" s="106">
        <v>84.507500000000007</v>
      </c>
      <c r="M68" s="106">
        <v>17.0625</v>
      </c>
      <c r="N68" s="136">
        <v>43.895833333333336</v>
      </c>
      <c r="O68" s="107">
        <v>8355.3333333333339</v>
      </c>
    </row>
    <row r="69" spans="4:15">
      <c r="D69" s="131"/>
      <c r="E69" s="96"/>
      <c r="F69" s="96"/>
      <c r="G69" s="108"/>
      <c r="H69" s="108" t="str">
        <f t="shared" ca="1" si="2"/>
        <v/>
      </c>
      <c r="I69" s="96"/>
      <c r="J69" s="96"/>
      <c r="K69" s="108"/>
      <c r="L69" s="106"/>
      <c r="M69" s="106"/>
      <c r="N69" s="136"/>
      <c r="O69" s="107"/>
    </row>
    <row r="70" spans="4:15">
      <c r="D70" s="131"/>
      <c r="E70" s="96" t="str">
        <f>"Number of cases per resource coordinator per day "&amp;" +/- "&amp;SAparam*100&amp;"%"</f>
        <v>Number of cases per resource coordinator per day  +/- 30%</v>
      </c>
      <c r="F70" s="96" t="s">
        <v>111</v>
      </c>
      <c r="G70" s="108">
        <v>3</v>
      </c>
      <c r="H70" s="108">
        <f t="shared" ca="1" si="2"/>
        <v>3</v>
      </c>
      <c r="I70" s="96" t="s">
        <v>224</v>
      </c>
      <c r="J70" s="96"/>
      <c r="K70" s="108">
        <f t="shared" si="3"/>
        <v>3.9</v>
      </c>
      <c r="L70" s="106">
        <v>76.452115384615382</v>
      </c>
      <c r="M70" s="106">
        <v>17.0625</v>
      </c>
      <c r="N70" s="136">
        <v>43.895833333333336</v>
      </c>
      <c r="O70" s="107">
        <v>7392.871794871794</v>
      </c>
    </row>
    <row r="71" spans="4:15">
      <c r="D71" s="131"/>
      <c r="E71" s="96"/>
      <c r="F71" s="96"/>
      <c r="G71" s="108"/>
      <c r="H71" s="108" t="str">
        <f t="shared" ca="1" si="2"/>
        <v/>
      </c>
      <c r="I71" s="96"/>
      <c r="J71" s="96"/>
      <c r="K71" s="108"/>
      <c r="L71" s="106"/>
      <c r="M71" s="106"/>
      <c r="N71" s="136"/>
      <c r="O71" s="107"/>
    </row>
    <row r="72" spans="4:15">
      <c r="D72" s="132" t="s">
        <v>34</v>
      </c>
      <c r="E72" s="96" t="str">
        <f>"Productive hours per employee per week"&amp;" +/- "&amp;SAparam*100&amp;"%"</f>
        <v>Productive hours per employee per week +/- 30%</v>
      </c>
      <c r="F72" s="96" t="s">
        <v>112</v>
      </c>
      <c r="G72" s="108">
        <v>40</v>
      </c>
      <c r="H72" s="108">
        <f t="shared" ca="1" si="2"/>
        <v>40</v>
      </c>
      <c r="I72" s="96" t="s">
        <v>135</v>
      </c>
      <c r="J72" s="96"/>
      <c r="K72" s="108">
        <f t="shared" ref="K72:K92" si="4">IFERROR(IF(F72="Low",G72-G72*SAparam,G72+G72*SAparam),"")</f>
        <v>28</v>
      </c>
      <c r="L72" s="106">
        <v>108.00900000000001</v>
      </c>
      <c r="M72" s="106">
        <v>24.375</v>
      </c>
      <c r="N72" s="136">
        <v>62.708333333333336</v>
      </c>
      <c r="O72" s="107">
        <v>7291.8133333333335</v>
      </c>
    </row>
    <row r="73" spans="4:15">
      <c r="D73" s="131"/>
      <c r="E73" s="96"/>
      <c r="F73" s="96"/>
      <c r="G73" s="108"/>
      <c r="H73" s="108" t="str">
        <f t="shared" ca="1" si="2"/>
        <v/>
      </c>
      <c r="I73" s="96"/>
      <c r="J73" s="96"/>
      <c r="K73" s="108"/>
      <c r="L73" s="106"/>
      <c r="M73" s="106"/>
      <c r="N73" s="136"/>
      <c r="O73" s="107"/>
    </row>
    <row r="74" spans="4:15">
      <c r="D74" s="133"/>
      <c r="E74" s="96" t="str">
        <f>"Productive hours per employee per week"&amp;" +/- "&amp;SAparam*100&amp;"%"</f>
        <v>Productive hours per employee per week +/- 30%</v>
      </c>
      <c r="F74" s="96" t="s">
        <v>111</v>
      </c>
      <c r="G74" s="108">
        <v>40</v>
      </c>
      <c r="H74" s="108">
        <f t="shared" ca="1" si="2"/>
        <v>40</v>
      </c>
      <c r="I74" s="96" t="s">
        <v>135</v>
      </c>
      <c r="J74" s="96"/>
      <c r="K74" s="108">
        <f t="shared" si="4"/>
        <v>52</v>
      </c>
      <c r="L74" s="106">
        <v>63.79746153846154</v>
      </c>
      <c r="M74" s="106">
        <v>13.125</v>
      </c>
      <c r="N74" s="136">
        <v>33.766025641025642</v>
      </c>
      <c r="O74" s="107">
        <v>8167.6533333333336</v>
      </c>
    </row>
    <row r="75" spans="4:15">
      <c r="D75" s="131"/>
      <c r="E75" s="96"/>
      <c r="F75" s="96"/>
      <c r="G75" s="108"/>
      <c r="H75" s="108" t="str">
        <f t="shared" ca="1" si="2"/>
        <v/>
      </c>
      <c r="I75" s="96"/>
      <c r="J75" s="96"/>
      <c r="K75" s="108"/>
      <c r="L75" s="106"/>
      <c r="M75" s="106"/>
      <c r="N75" s="136"/>
      <c r="O75" s="107"/>
    </row>
    <row r="76" spans="4:15">
      <c r="D76" s="131"/>
      <c r="E76" s="96" t="str">
        <f>"Number of staff per supervisor/manager"&amp;" +/- "&amp;SAparam*100&amp;"%"</f>
        <v>Number of staff per supervisor/manager +/- 30%</v>
      </c>
      <c r="F76" s="96" t="s">
        <v>112</v>
      </c>
      <c r="G76" s="108">
        <v>10</v>
      </c>
      <c r="H76" s="108">
        <f t="shared" ca="1" si="2"/>
        <v>10</v>
      </c>
      <c r="I76" s="96" t="s">
        <v>136</v>
      </c>
      <c r="J76" s="96"/>
      <c r="K76" s="108">
        <f t="shared" si="4"/>
        <v>7</v>
      </c>
      <c r="L76" s="106">
        <v>82.36</v>
      </c>
      <c r="M76" s="106">
        <v>17.0625</v>
      </c>
      <c r="N76" s="136">
        <v>43.895833333333336</v>
      </c>
      <c r="O76" s="107">
        <v>8259.1904761904771</v>
      </c>
    </row>
    <row r="77" spans="4:15">
      <c r="D77" s="131"/>
      <c r="E77" s="96"/>
      <c r="F77" s="96"/>
      <c r="G77" s="108"/>
      <c r="H77" s="108" t="str">
        <f t="shared" ca="1" si="2"/>
        <v/>
      </c>
      <c r="I77" s="96"/>
      <c r="J77" s="96"/>
      <c r="K77" s="108"/>
      <c r="L77" s="106"/>
      <c r="M77" s="106"/>
      <c r="N77" s="136"/>
      <c r="O77" s="107"/>
    </row>
    <row r="78" spans="4:15">
      <c r="D78" s="131"/>
      <c r="E78" s="96" t="str">
        <f>"Number of staff per supervisor/manager"&amp;" +/- "&amp;SAparam*100&amp;"%"</f>
        <v>Number of staff per supervisor/manager +/- 30%</v>
      </c>
      <c r="F78" s="96" t="s">
        <v>111</v>
      </c>
      <c r="G78" s="108">
        <v>10</v>
      </c>
      <c r="H78" s="108">
        <f t="shared" ca="1" si="2"/>
        <v>10</v>
      </c>
      <c r="I78" s="96" t="s">
        <v>136</v>
      </c>
      <c r="J78" s="96"/>
      <c r="K78" s="108">
        <f t="shared" si="4"/>
        <v>13</v>
      </c>
      <c r="L78" s="106">
        <v>77.60846153846154</v>
      </c>
      <c r="M78" s="106">
        <v>17.0625</v>
      </c>
      <c r="N78" s="136">
        <v>43.895833333333336</v>
      </c>
      <c r="O78" s="107">
        <v>7444.6410256410263</v>
      </c>
    </row>
    <row r="79" spans="4:15">
      <c r="D79" s="131"/>
      <c r="E79" s="96"/>
      <c r="F79" s="96"/>
      <c r="G79" s="108"/>
      <c r="H79" s="108" t="str">
        <f t="shared" ca="1" si="2"/>
        <v/>
      </c>
      <c r="I79" s="96"/>
      <c r="J79" s="96"/>
      <c r="K79" s="108"/>
      <c r="L79" s="106"/>
      <c r="M79" s="106"/>
      <c r="N79" s="136"/>
      <c r="O79" s="107"/>
    </row>
    <row r="80" spans="4:15">
      <c r="D80" s="131"/>
      <c r="E80" s="96" t="str">
        <f>"Hourly rate - case investigator"&amp;" +/- "&amp;SAparam*100&amp;"%"</f>
        <v>Hourly rate - case investigator +/- 30%</v>
      </c>
      <c r="F80" s="96" t="s">
        <v>112</v>
      </c>
      <c r="G80" s="108">
        <v>15</v>
      </c>
      <c r="H80" s="108">
        <f t="shared" ca="1" si="2"/>
        <v>15</v>
      </c>
      <c r="I80" s="96" t="s">
        <v>137</v>
      </c>
      <c r="J80" s="96"/>
      <c r="K80" s="108">
        <f t="shared" si="4"/>
        <v>10.5</v>
      </c>
      <c r="L80" s="106">
        <v>79.271500000000003</v>
      </c>
      <c r="M80" s="106">
        <v>17.0625</v>
      </c>
      <c r="N80" s="136">
        <v>43.895833333333336</v>
      </c>
      <c r="O80" s="107">
        <v>7290.9833333333336</v>
      </c>
    </row>
    <row r="81" spans="4:15">
      <c r="D81" s="131"/>
      <c r="E81" s="96"/>
      <c r="F81" s="96"/>
      <c r="G81" s="108"/>
      <c r="H81" s="108" t="str">
        <f t="shared" ca="1" si="2"/>
        <v/>
      </c>
      <c r="I81" s="96"/>
      <c r="J81" s="96"/>
      <c r="K81" s="108"/>
      <c r="L81" s="106"/>
      <c r="M81" s="106"/>
      <c r="N81" s="136"/>
      <c r="O81" s="107"/>
    </row>
    <row r="82" spans="4:15">
      <c r="D82" s="131"/>
      <c r="E82" s="96" t="str">
        <f>"Hourly rate - case investigator"&amp;" +/- "&amp;SAparam*100&amp;"%"</f>
        <v>Hourly rate - case investigator +/- 30%</v>
      </c>
      <c r="F82" s="96" t="s">
        <v>111</v>
      </c>
      <c r="G82" s="108">
        <v>15</v>
      </c>
      <c r="H82" s="108">
        <f t="shared" ca="1" si="2"/>
        <v>15</v>
      </c>
      <c r="I82" s="96" t="s">
        <v>137</v>
      </c>
      <c r="J82" s="96"/>
      <c r="K82" s="108">
        <f t="shared" si="4"/>
        <v>19.5</v>
      </c>
      <c r="L82" s="106">
        <v>79.271500000000003</v>
      </c>
      <c r="M82" s="106">
        <v>17.0625</v>
      </c>
      <c r="N82" s="136">
        <v>43.895833333333336</v>
      </c>
      <c r="O82" s="107">
        <v>8168.4833333333336</v>
      </c>
    </row>
    <row r="83" spans="4:15">
      <c r="D83" s="131"/>
      <c r="E83" s="96"/>
      <c r="F83" s="96"/>
      <c r="G83" s="108"/>
      <c r="H83" s="108" t="str">
        <f t="shared" ca="1" si="2"/>
        <v/>
      </c>
      <c r="I83" s="96"/>
      <c r="J83" s="96"/>
      <c r="K83" s="108"/>
      <c r="L83" s="106"/>
      <c r="M83" s="106"/>
      <c r="N83" s="136"/>
      <c r="O83" s="107"/>
    </row>
    <row r="84" spans="4:15">
      <c r="D84" s="131"/>
      <c r="E84" s="96" t="str">
        <f>"Hourly rate - contact tracer"&amp;" +/- "&amp;SAparam*100&amp;"%"</f>
        <v>Hourly rate - contact tracer +/- 30%</v>
      </c>
      <c r="F84" s="96" t="s">
        <v>112</v>
      </c>
      <c r="G84" s="108">
        <v>15</v>
      </c>
      <c r="H84" s="108">
        <f t="shared" ca="1" si="2"/>
        <v>15</v>
      </c>
      <c r="I84" s="96" t="s">
        <v>138</v>
      </c>
      <c r="J84" s="96"/>
      <c r="K84" s="108">
        <f t="shared" si="4"/>
        <v>10.5</v>
      </c>
      <c r="L84" s="106">
        <v>79.271500000000003</v>
      </c>
      <c r="M84" s="106">
        <v>17.0625</v>
      </c>
      <c r="N84" s="136">
        <v>43.895833333333336</v>
      </c>
      <c r="O84" s="107">
        <v>6600.9833333333336</v>
      </c>
    </row>
    <row r="85" spans="4:15">
      <c r="D85" s="131"/>
      <c r="E85" s="96"/>
      <c r="F85" s="96"/>
      <c r="G85" s="108"/>
      <c r="H85" s="108" t="str">
        <f t="shared" ca="1" si="2"/>
        <v/>
      </c>
      <c r="I85" s="96"/>
      <c r="J85" s="96"/>
      <c r="K85" s="108"/>
      <c r="L85" s="106"/>
      <c r="M85" s="106"/>
      <c r="N85" s="136"/>
      <c r="O85" s="107"/>
    </row>
    <row r="86" spans="4:15">
      <c r="D86" s="131"/>
      <c r="E86" s="96" t="str">
        <f>"Hourly rate - contact tracer"&amp;" +/- "&amp;SAparam*100&amp;"%"</f>
        <v>Hourly rate - contact tracer +/- 30%</v>
      </c>
      <c r="F86" s="96" t="s">
        <v>111</v>
      </c>
      <c r="G86" s="108">
        <v>15</v>
      </c>
      <c r="H86" s="108">
        <f t="shared" ca="1" si="2"/>
        <v>15</v>
      </c>
      <c r="I86" s="96" t="s">
        <v>138</v>
      </c>
      <c r="J86" s="96"/>
      <c r="K86" s="108">
        <f t="shared" si="4"/>
        <v>19.5</v>
      </c>
      <c r="L86" s="106">
        <v>79.271500000000003</v>
      </c>
      <c r="M86" s="106">
        <v>17.0625</v>
      </c>
      <c r="N86" s="136">
        <v>43.895833333333336</v>
      </c>
      <c r="O86" s="107">
        <v>8858.4833333333336</v>
      </c>
    </row>
    <row r="87" spans="4:15">
      <c r="D87" s="131"/>
      <c r="E87" s="96"/>
      <c r="F87" s="96"/>
      <c r="G87" s="108"/>
      <c r="H87" s="108" t="str">
        <f t="shared" ref="H87:H92" ca="1" si="5">IFERROR(INDIRECT(I87),"")</f>
        <v/>
      </c>
      <c r="I87" s="96"/>
      <c r="J87" s="96"/>
      <c r="K87" s="108"/>
      <c r="L87" s="106"/>
      <c r="M87" s="106"/>
      <c r="N87" s="136"/>
      <c r="O87" s="107"/>
    </row>
    <row r="88" spans="4:15">
      <c r="D88" s="131"/>
      <c r="E88" s="96" t="str">
        <f>"Hourly rate - resource coordinator"&amp;" +/- "&amp;SAparam*100&amp;"%"</f>
        <v>Hourly rate - resource coordinator +/- 30%</v>
      </c>
      <c r="F88" s="96" t="s">
        <v>112</v>
      </c>
      <c r="G88" s="108">
        <v>20</v>
      </c>
      <c r="H88" s="108">
        <f t="shared" ca="1" si="5"/>
        <v>20</v>
      </c>
      <c r="I88" s="96" t="s">
        <v>139</v>
      </c>
      <c r="J88" s="96"/>
      <c r="K88" s="108">
        <f t="shared" si="4"/>
        <v>14</v>
      </c>
      <c r="L88" s="106">
        <v>79.271500000000003</v>
      </c>
      <c r="M88" s="106">
        <v>17.0625</v>
      </c>
      <c r="N88" s="136">
        <v>43.895833333333336</v>
      </c>
      <c r="O88" s="107">
        <v>7348.9333333333325</v>
      </c>
    </row>
    <row r="89" spans="4:15">
      <c r="D89" s="131"/>
      <c r="E89" s="96"/>
      <c r="F89" s="96"/>
      <c r="G89" s="109"/>
      <c r="H89" s="108" t="str">
        <f t="shared" ca="1" si="5"/>
        <v/>
      </c>
      <c r="I89" s="96"/>
      <c r="J89" s="96"/>
      <c r="K89" s="108"/>
      <c r="L89" s="106"/>
      <c r="M89" s="106"/>
      <c r="N89" s="136"/>
      <c r="O89" s="107"/>
    </row>
    <row r="90" spans="4:15">
      <c r="D90" s="131"/>
      <c r="E90" s="96" t="str">
        <f>"Hourly rate - resource coordinator"&amp;" +/- "&amp;SAparam*100&amp;"%"</f>
        <v>Hourly rate - resource coordinator +/- 30%</v>
      </c>
      <c r="F90" s="96" t="s">
        <v>111</v>
      </c>
      <c r="G90" s="108">
        <v>20</v>
      </c>
      <c r="H90" s="108">
        <f t="shared" ca="1" si="5"/>
        <v>20</v>
      </c>
      <c r="I90" s="96" t="s">
        <v>139</v>
      </c>
      <c r="J90" s="96"/>
      <c r="K90" s="108">
        <f t="shared" si="4"/>
        <v>26</v>
      </c>
      <c r="L90" s="106">
        <v>79.271500000000003</v>
      </c>
      <c r="M90" s="106">
        <v>17.0625</v>
      </c>
      <c r="N90" s="136">
        <v>43.895833333333336</v>
      </c>
      <c r="O90" s="107">
        <v>8110.5333333333328</v>
      </c>
    </row>
    <row r="91" spans="4:15">
      <c r="D91" s="131"/>
      <c r="E91" s="96"/>
      <c r="F91" s="96"/>
      <c r="G91" s="109"/>
      <c r="H91" s="108" t="str">
        <f t="shared" ca="1" si="5"/>
        <v/>
      </c>
      <c r="I91" s="96"/>
      <c r="J91" s="96"/>
      <c r="K91" s="108"/>
      <c r="L91" s="106"/>
      <c r="M91" s="106"/>
      <c r="N91" s="136"/>
      <c r="O91" s="107"/>
    </row>
    <row r="92" spans="4:15">
      <c r="D92" s="131"/>
      <c r="E92" s="96" t="str">
        <f>"Hourly rate - supervisors/managers"&amp;" +/- "&amp;SAparam*100&amp;"%"</f>
        <v>Hourly rate - supervisors/managers +/- 30%</v>
      </c>
      <c r="F92" s="96" t="s">
        <v>112</v>
      </c>
      <c r="G92" s="108">
        <v>30</v>
      </c>
      <c r="H92" s="108">
        <f t="shared" ca="1" si="5"/>
        <v>30</v>
      </c>
      <c r="I92" s="96" t="s">
        <v>140</v>
      </c>
      <c r="J92" s="96"/>
      <c r="K92" s="108">
        <f t="shared" si="4"/>
        <v>21</v>
      </c>
      <c r="L92" s="106">
        <v>79.271500000000003</v>
      </c>
      <c r="M92" s="106">
        <v>17.0625</v>
      </c>
      <c r="N92" s="136">
        <v>43.895833333333336</v>
      </c>
      <c r="O92" s="107">
        <v>7359.1133333333337</v>
      </c>
    </row>
    <row r="93" spans="4:15">
      <c r="D93" s="131"/>
      <c r="E93" s="96"/>
      <c r="F93" s="96"/>
      <c r="G93" s="108"/>
      <c r="H93" s="108"/>
      <c r="I93" s="96"/>
      <c r="J93" s="96"/>
      <c r="K93" s="108"/>
      <c r="L93" s="106"/>
      <c r="M93" s="106"/>
      <c r="N93" s="136"/>
      <c r="O93" s="107"/>
    </row>
    <row r="94" spans="4:15">
      <c r="D94" s="131"/>
      <c r="E94" s="96" t="str">
        <f>"Hourly rate - supervisors/managers"&amp;" +/- "&amp;SAparam*100&amp;"%"</f>
        <v>Hourly rate - supervisors/managers +/- 30%</v>
      </c>
      <c r="F94" s="96" t="s">
        <v>111</v>
      </c>
      <c r="G94" s="108">
        <v>30</v>
      </c>
      <c r="H94" s="108">
        <f t="shared" ref="H94" ca="1" si="6">IFERROR(INDIRECT(I94),"")</f>
        <v>30</v>
      </c>
      <c r="I94" s="96" t="s">
        <v>140</v>
      </c>
      <c r="J94" s="96"/>
      <c r="K94" s="108">
        <f t="shared" ref="K94" si="7">IFERROR(IF(F94="Low",G94-G94*SAparam,G94+G94*SAparam),"")</f>
        <v>39</v>
      </c>
      <c r="L94" s="106">
        <v>79.271500000000003</v>
      </c>
      <c r="M94" s="106">
        <v>17.0625</v>
      </c>
      <c r="N94" s="136">
        <v>43.895833333333336</v>
      </c>
      <c r="O94" s="107">
        <v>8100.3533333333344</v>
      </c>
    </row>
    <row r="95" spans="4:15">
      <c r="D95" s="131"/>
      <c r="E95" s="96"/>
      <c r="F95" s="96"/>
      <c r="G95" s="108"/>
      <c r="H95" s="108"/>
      <c r="I95" s="96"/>
      <c r="J95" s="96"/>
      <c r="K95" s="108"/>
      <c r="L95" s="106"/>
      <c r="M95" s="106"/>
      <c r="N95" s="136"/>
      <c r="O95" s="107"/>
    </row>
    <row r="96" spans="4:15">
      <c r="D96" s="96" t="s">
        <v>160</v>
      </c>
      <c r="E96" s="96" t="str">
        <f>"Hourly rate - supervisors/managers"&amp;" +/- "&amp;SAparam*100&amp;"%"</f>
        <v>Hourly rate - supervisors/managers +/- 30%</v>
      </c>
      <c r="F96" s="96" t="s">
        <v>111</v>
      </c>
      <c r="G96" s="108">
        <v>30</v>
      </c>
      <c r="H96" s="108">
        <f t="shared" ref="H96" ca="1" si="8">IFERROR(INDIRECT(I96),"")</f>
        <v>30</v>
      </c>
      <c r="I96" s="96" t="s">
        <v>140</v>
      </c>
      <c r="J96" s="96"/>
      <c r="K96" s="108">
        <f t="shared" ref="K96" si="9">IFERROR(IF(F96="Low",G96-G96*SAparam,G96+G96*SAparam),"")</f>
        <v>39</v>
      </c>
      <c r="L96" s="106">
        <v>79.271500000000003</v>
      </c>
      <c r="M96" s="106">
        <v>17.0625</v>
      </c>
      <c r="N96" s="136">
        <v>43.895833333333336</v>
      </c>
      <c r="O96" s="107">
        <v>8100.3533333333344</v>
      </c>
    </row>
    <row r="97" spans="4:15">
      <c r="D97" s="131"/>
      <c r="E97" s="96"/>
      <c r="F97" s="96"/>
      <c r="G97" s="108"/>
      <c r="H97" s="108"/>
      <c r="I97" s="96"/>
      <c r="J97" s="96"/>
      <c r="K97" s="108"/>
      <c r="L97" s="106"/>
      <c r="M97" s="106"/>
      <c r="N97" s="136"/>
      <c r="O97" s="107"/>
    </row>
    <row r="98" spans="4:15">
      <c r="D98" s="96" t="str">
        <f>"Cases reduced by "&amp;SAparam*2*100&amp;"%"</f>
        <v>Cases reduced by 60%</v>
      </c>
      <c r="E98" s="96" t="str">
        <f>"Cases reduced by "&amp;ABS(F98*100)&amp;"%, Contacts reduced by "&amp;ABS(F99*100)&amp;"%"</f>
        <v>Cases reduced by 60%, Contacts reduced by 60%</v>
      </c>
      <c r="F98" s="146">
        <f>-SAparam*2</f>
        <v>-0.6</v>
      </c>
      <c r="G98" s="108">
        <v>100</v>
      </c>
      <c r="H98" s="108">
        <f t="shared" ref="H98" ca="1" si="10">IFERROR(INDIRECT(I98),"")</f>
        <v>100</v>
      </c>
      <c r="I98" s="96" t="s">
        <v>122</v>
      </c>
      <c r="J98" s="96"/>
      <c r="K98" s="108">
        <f>G98+G98*F98</f>
        <v>40</v>
      </c>
      <c r="L98" s="106">
        <v>17.964099999999998</v>
      </c>
      <c r="M98" s="106">
        <v>6.8250000000000002</v>
      </c>
      <c r="N98" s="136">
        <v>7.0233333333333334</v>
      </c>
      <c r="O98" s="107">
        <v>1750.6933333333334</v>
      </c>
    </row>
    <row r="99" spans="4:15">
      <c r="D99" s="131"/>
      <c r="E99" s="96"/>
      <c r="F99" s="146">
        <f>-SAparam*2</f>
        <v>-0.6</v>
      </c>
      <c r="G99" s="108">
        <v>5</v>
      </c>
      <c r="H99" s="108">
        <f t="shared" ref="H99" ca="1" si="11">IFERROR(INDIRECT(I99),"")</f>
        <v>5</v>
      </c>
      <c r="I99" s="96" t="s">
        <v>123</v>
      </c>
      <c r="J99" s="96"/>
      <c r="K99" s="108">
        <f>G99+G99*F99</f>
        <v>2</v>
      </c>
      <c r="L99" s="106"/>
      <c r="M99" s="106"/>
      <c r="N99" s="136"/>
      <c r="O99" s="107"/>
    </row>
    <row r="100" spans="4:15">
      <c r="D100" s="131"/>
      <c r="E100" s="96"/>
      <c r="F100" s="96"/>
      <c r="G100" s="108"/>
      <c r="H100" s="108"/>
      <c r="I100" s="96"/>
      <c r="J100" s="96"/>
      <c r="K100" s="108"/>
      <c r="L100" s="106"/>
      <c r="M100" s="106"/>
      <c r="N100" s="136"/>
      <c r="O100" s="107"/>
    </row>
    <row r="101" spans="4:15">
      <c r="D101" s="131"/>
      <c r="E101" s="96" t="str">
        <f>"Cases reduced by "&amp;ABS(F101*100)&amp;"%, Contacts reduced by "&amp;ABS(F102*100)&amp;"%"</f>
        <v>Cases reduced by 60%, Contacts reduced by 30%</v>
      </c>
      <c r="F101" s="146">
        <f>-SAparam*2</f>
        <v>-0.6</v>
      </c>
      <c r="G101" s="108">
        <v>100</v>
      </c>
      <c r="H101" s="108">
        <f t="shared" ref="H101:H102" ca="1" si="12">IFERROR(INDIRECT(I101),"")</f>
        <v>100</v>
      </c>
      <c r="I101" s="96" t="s">
        <v>122</v>
      </c>
      <c r="J101" s="96"/>
      <c r="K101" s="108">
        <f>G101+G101*F101</f>
        <v>40</v>
      </c>
      <c r="L101" s="106">
        <v>24.836350000000003</v>
      </c>
      <c r="M101" s="106">
        <v>6.8250000000000002</v>
      </c>
      <c r="N101" s="136">
        <v>12.290833333333333</v>
      </c>
      <c r="O101" s="107">
        <v>2421.2933333333335</v>
      </c>
    </row>
    <row r="102" spans="4:15">
      <c r="D102" s="131"/>
      <c r="E102" s="96"/>
      <c r="F102" s="146">
        <f>-SAparam</f>
        <v>-0.3</v>
      </c>
      <c r="G102" s="108">
        <v>5</v>
      </c>
      <c r="H102" s="108">
        <f t="shared" ca="1" si="12"/>
        <v>5</v>
      </c>
      <c r="I102" s="96" t="s">
        <v>123</v>
      </c>
      <c r="J102" s="96"/>
      <c r="K102" s="108">
        <f>G102+G102*F102</f>
        <v>3.5</v>
      </c>
      <c r="L102" s="106"/>
      <c r="M102" s="106"/>
      <c r="N102" s="136"/>
      <c r="O102" s="107"/>
    </row>
    <row r="103" spans="4:15">
      <c r="D103" s="131"/>
      <c r="E103" s="96"/>
      <c r="F103" s="96"/>
      <c r="G103" s="108"/>
      <c r="H103" s="108"/>
      <c r="I103" s="96"/>
      <c r="J103" s="96"/>
      <c r="K103" s="108"/>
      <c r="L103" s="106"/>
      <c r="M103" s="106"/>
      <c r="N103" s="136"/>
      <c r="O103" s="107"/>
    </row>
    <row r="104" spans="4:15">
      <c r="D104" s="131"/>
      <c r="E104" s="96" t="str">
        <f>"Cases reduced by "&amp;ABS(F104*100)&amp;"%, Base-case number of contacts"</f>
        <v>Cases reduced by 60%, Base-case number of contacts</v>
      </c>
      <c r="F104" s="146">
        <f>-SAparam*2</f>
        <v>-0.6</v>
      </c>
      <c r="G104" s="108">
        <v>100</v>
      </c>
      <c r="H104" s="108">
        <f t="shared" ref="H104:H105" ca="1" si="13">IFERROR(INDIRECT(I104),"")</f>
        <v>100</v>
      </c>
      <c r="I104" s="96" t="s">
        <v>122</v>
      </c>
      <c r="J104" s="96"/>
      <c r="K104" s="108">
        <f>G104+G104*F104</f>
        <v>40</v>
      </c>
      <c r="L104" s="106">
        <v>31.708599999999993</v>
      </c>
      <c r="M104" s="106">
        <v>6.8250000000000002</v>
      </c>
      <c r="N104" s="136">
        <v>17.55833333333333</v>
      </c>
      <c r="O104" s="107">
        <v>3091.893333333333</v>
      </c>
    </row>
    <row r="105" spans="4:15">
      <c r="D105" s="131"/>
      <c r="E105" s="96"/>
      <c r="F105" s="146">
        <v>0</v>
      </c>
      <c r="G105" s="108">
        <v>5</v>
      </c>
      <c r="H105" s="108">
        <f t="shared" ca="1" si="13"/>
        <v>5</v>
      </c>
      <c r="I105" s="96" t="s">
        <v>123</v>
      </c>
      <c r="J105" s="96"/>
      <c r="K105" s="108">
        <f>G105+G105*F105</f>
        <v>5</v>
      </c>
      <c r="L105" s="106"/>
      <c r="M105" s="106"/>
      <c r="N105" s="136"/>
      <c r="O105" s="107"/>
    </row>
    <row r="106" spans="4:15">
      <c r="D106" s="131"/>
      <c r="E106" s="96"/>
      <c r="F106" s="96"/>
      <c r="G106" s="108"/>
      <c r="H106" s="108"/>
      <c r="I106" s="96"/>
      <c r="J106" s="96"/>
      <c r="K106" s="108"/>
      <c r="L106" s="106"/>
      <c r="M106" s="106"/>
      <c r="N106" s="136"/>
      <c r="O106" s="107"/>
    </row>
    <row r="107" spans="4:15">
      <c r="D107" s="131"/>
      <c r="E107" s="96" t="str">
        <f>"Cases reduced by "&amp;ABS(F107*100)&amp;"%, Contacts increased by "&amp;ABS(F108*100)&amp;"%"</f>
        <v>Cases reduced by 60%, Contacts increased by 30%</v>
      </c>
      <c r="F107" s="146">
        <f>-SAparam*2</f>
        <v>-0.6</v>
      </c>
      <c r="G107" s="108">
        <v>100</v>
      </c>
      <c r="H107" s="108">
        <f t="shared" ref="H107:H108" ca="1" si="14">IFERROR(INDIRECT(I107),"")</f>
        <v>100</v>
      </c>
      <c r="I107" s="96" t="s">
        <v>122</v>
      </c>
      <c r="J107" s="96"/>
      <c r="K107" s="108">
        <f>G107+G107*F107</f>
        <v>40</v>
      </c>
      <c r="L107" s="106">
        <v>38.580849999999998</v>
      </c>
      <c r="M107" s="106">
        <v>6.8250000000000002</v>
      </c>
      <c r="N107" s="136">
        <v>22.825833333333328</v>
      </c>
      <c r="O107" s="107">
        <v>3762.4933333333329</v>
      </c>
    </row>
    <row r="108" spans="4:15">
      <c r="D108" s="131"/>
      <c r="E108" s="96"/>
      <c r="F108" s="146">
        <f>SAparam</f>
        <v>0.3</v>
      </c>
      <c r="G108" s="108">
        <v>5</v>
      </c>
      <c r="H108" s="108">
        <f t="shared" ca="1" si="14"/>
        <v>5</v>
      </c>
      <c r="I108" s="96" t="s">
        <v>123</v>
      </c>
      <c r="J108" s="96"/>
      <c r="K108" s="108">
        <f>G108+G108*F108</f>
        <v>6.5</v>
      </c>
      <c r="L108" s="106"/>
      <c r="M108" s="106"/>
      <c r="N108" s="136"/>
      <c r="O108" s="107"/>
    </row>
    <row r="109" spans="4:15">
      <c r="D109" s="131"/>
      <c r="E109" s="96"/>
      <c r="F109" s="96"/>
      <c r="G109" s="108"/>
      <c r="H109" s="108"/>
      <c r="I109" s="96"/>
      <c r="J109" s="96"/>
      <c r="K109" s="108"/>
      <c r="L109" s="106"/>
      <c r="M109" s="106"/>
      <c r="N109" s="136"/>
      <c r="O109" s="107"/>
    </row>
    <row r="110" spans="4:15">
      <c r="D110" s="131"/>
      <c r="E110" s="96" t="str">
        <f>"Cases reduced by "&amp;ABS(F110*100)&amp;"%, Contacts increased by "&amp;ABS(F111*100)&amp;"%"</f>
        <v>Cases reduced by 60%, Contacts increased by 60%</v>
      </c>
      <c r="F110" s="146">
        <f>-SAparam*2</f>
        <v>-0.6</v>
      </c>
      <c r="G110" s="108">
        <v>100</v>
      </c>
      <c r="H110" s="108">
        <f t="shared" ref="H110:H111" ca="1" si="15">IFERROR(INDIRECT(I110),"")</f>
        <v>100</v>
      </c>
      <c r="I110" s="96" t="s">
        <v>122</v>
      </c>
      <c r="J110" s="96"/>
      <c r="K110" s="108">
        <f>G110+G110*F110</f>
        <v>40</v>
      </c>
      <c r="L110" s="106">
        <v>45.453100000000006</v>
      </c>
      <c r="M110" s="106">
        <v>6.8250000000000002</v>
      </c>
      <c r="N110" s="136">
        <v>28.093333333333334</v>
      </c>
      <c r="O110" s="107">
        <v>4433.0933333333332</v>
      </c>
    </row>
    <row r="111" spans="4:15">
      <c r="D111" s="131"/>
      <c r="E111" s="96"/>
      <c r="F111" s="146">
        <f>2*SAparam</f>
        <v>0.6</v>
      </c>
      <c r="G111" s="108">
        <v>5</v>
      </c>
      <c r="H111" s="108">
        <f t="shared" ca="1" si="15"/>
        <v>5</v>
      </c>
      <c r="I111" s="96" t="s">
        <v>123</v>
      </c>
      <c r="J111" s="96"/>
      <c r="K111" s="108">
        <f>G111+G111*F111</f>
        <v>8</v>
      </c>
      <c r="L111" s="106"/>
      <c r="M111" s="106"/>
      <c r="N111" s="136"/>
      <c r="O111" s="107"/>
    </row>
    <row r="112" spans="4:15">
      <c r="D112" s="131"/>
      <c r="E112" s="96"/>
      <c r="F112" s="96"/>
      <c r="G112" s="108"/>
      <c r="H112" s="108"/>
      <c r="I112" s="96"/>
      <c r="J112" s="96"/>
      <c r="K112" s="108"/>
      <c r="L112" s="106"/>
      <c r="M112" s="106"/>
      <c r="N112" s="136"/>
      <c r="O112" s="107"/>
    </row>
    <row r="113" spans="4:15">
      <c r="D113" s="96" t="str">
        <f>"Cases reduced by "&amp;SAparam*100&amp;"%"</f>
        <v>Cases reduced by 30%</v>
      </c>
      <c r="E113" s="96" t="str">
        <f>"Cases reduced by "&amp;ABS(F113*100)&amp;"%, Contacts reduced by "&amp;ABS(F114*100)&amp;"%"</f>
        <v>Cases reduced by 30%, Contacts reduced by 60%</v>
      </c>
      <c r="F113" s="146">
        <f>-SAparam</f>
        <v>-0.3</v>
      </c>
      <c r="G113" s="108">
        <v>100</v>
      </c>
      <c r="H113" s="108">
        <f t="shared" ref="H113:H114" ca="1" si="16">IFERROR(INDIRECT(I113),"")</f>
        <v>100</v>
      </c>
      <c r="I113" s="96" t="s">
        <v>122</v>
      </c>
      <c r="J113" s="96"/>
      <c r="K113" s="108">
        <f>G113+G113*F113</f>
        <v>70</v>
      </c>
      <c r="L113" s="106">
        <v>31.437175000000003</v>
      </c>
      <c r="M113" s="106">
        <v>11.94375</v>
      </c>
      <c r="N113" s="136">
        <v>12.290833333333333</v>
      </c>
      <c r="O113" s="107">
        <v>3063.7133333333331</v>
      </c>
    </row>
    <row r="114" spans="4:15">
      <c r="D114" s="131"/>
      <c r="E114" s="96"/>
      <c r="F114" s="146">
        <f>-SAparam*2</f>
        <v>-0.6</v>
      </c>
      <c r="G114" s="108">
        <v>5</v>
      </c>
      <c r="H114" s="108">
        <f t="shared" ca="1" si="16"/>
        <v>5</v>
      </c>
      <c r="I114" s="96" t="s">
        <v>123</v>
      </c>
      <c r="J114" s="96"/>
      <c r="K114" s="108">
        <f>G114+G114*F114</f>
        <v>2</v>
      </c>
      <c r="L114" s="106"/>
      <c r="M114" s="106"/>
      <c r="N114" s="136"/>
      <c r="O114" s="107"/>
    </row>
    <row r="115" spans="4:15">
      <c r="D115" s="131"/>
      <c r="E115" s="96"/>
      <c r="F115" s="96"/>
      <c r="G115" s="108"/>
      <c r="H115" s="108"/>
      <c r="I115" s="96"/>
      <c r="J115" s="96"/>
      <c r="K115" s="108"/>
      <c r="L115" s="106"/>
      <c r="M115" s="106"/>
      <c r="N115" s="136"/>
      <c r="O115" s="107"/>
    </row>
    <row r="116" spans="4:15">
      <c r="D116" s="131"/>
      <c r="E116" s="96" t="str">
        <f>"Cases reduced by "&amp;ABS(F116*100)&amp;"%, Contacts reduced by "&amp;ABS(F117*100)&amp;"%"</f>
        <v>Cases reduced by 30%, Contacts reduced by 30%</v>
      </c>
      <c r="F116" s="146">
        <f>-SAparam</f>
        <v>-0.3</v>
      </c>
      <c r="G116" s="108">
        <v>100</v>
      </c>
      <c r="H116" s="108">
        <f t="shared" ref="H116:H117" ca="1" si="17">IFERROR(INDIRECT(I116),"")</f>
        <v>100</v>
      </c>
      <c r="I116" s="96" t="s">
        <v>122</v>
      </c>
      <c r="J116" s="96"/>
      <c r="K116" s="108">
        <f>G116+G116*F116</f>
        <v>70</v>
      </c>
      <c r="L116" s="106">
        <v>43.463612499999996</v>
      </c>
      <c r="M116" s="106">
        <v>11.94375</v>
      </c>
      <c r="N116" s="136">
        <v>21.508958333333332</v>
      </c>
      <c r="O116" s="107">
        <v>4237.2633333333333</v>
      </c>
    </row>
    <row r="117" spans="4:15">
      <c r="D117" s="131"/>
      <c r="E117" s="96"/>
      <c r="F117" s="146">
        <f>-SAparam</f>
        <v>-0.3</v>
      </c>
      <c r="G117" s="108">
        <v>5</v>
      </c>
      <c r="H117" s="108">
        <f t="shared" ca="1" si="17"/>
        <v>5</v>
      </c>
      <c r="I117" s="96" t="s">
        <v>123</v>
      </c>
      <c r="J117" s="96"/>
      <c r="K117" s="108">
        <f>G117+G117*F117</f>
        <v>3.5</v>
      </c>
      <c r="L117" s="106"/>
      <c r="M117" s="106"/>
      <c r="N117" s="136"/>
      <c r="O117" s="107"/>
    </row>
    <row r="118" spans="4:15">
      <c r="D118" s="131"/>
      <c r="E118" s="96"/>
      <c r="F118" s="96"/>
      <c r="G118" s="108"/>
      <c r="H118" s="108"/>
      <c r="I118" s="96"/>
      <c r="J118" s="96"/>
      <c r="K118" s="108"/>
      <c r="L118" s="106"/>
      <c r="M118" s="106"/>
      <c r="N118" s="136"/>
      <c r="O118" s="107"/>
    </row>
    <row r="119" spans="4:15">
      <c r="D119" s="131"/>
      <c r="E119" s="96" t="str">
        <f>"Cases reduced by "&amp;ABS(F119*100)&amp;"%, Base-case number of contacts"</f>
        <v>Cases reduced by 30%, Base-case number of contacts</v>
      </c>
      <c r="F119" s="146">
        <f>-SAparam</f>
        <v>-0.3</v>
      </c>
      <c r="G119" s="108">
        <v>100</v>
      </c>
      <c r="H119" s="108">
        <f t="shared" ref="H119:H120" ca="1" si="18">IFERROR(INDIRECT(I119),"")</f>
        <v>100</v>
      </c>
      <c r="I119" s="96" t="s">
        <v>122</v>
      </c>
      <c r="J119" s="96"/>
      <c r="K119" s="108">
        <f>G119+G119*F119</f>
        <v>70</v>
      </c>
      <c r="L119" s="106">
        <v>55.490050000000004</v>
      </c>
      <c r="M119" s="106">
        <v>11.94375</v>
      </c>
      <c r="N119" s="136">
        <v>30.727083333333336</v>
      </c>
      <c r="O119" s="107">
        <v>5410.8133333333326</v>
      </c>
    </row>
    <row r="120" spans="4:15">
      <c r="D120" s="131"/>
      <c r="E120" s="96"/>
      <c r="F120" s="146">
        <v>0</v>
      </c>
      <c r="G120" s="108">
        <v>5</v>
      </c>
      <c r="H120" s="108">
        <f t="shared" ca="1" si="18"/>
        <v>5</v>
      </c>
      <c r="I120" s="96" t="s">
        <v>123</v>
      </c>
      <c r="J120" s="96"/>
      <c r="K120" s="108">
        <f>G120+G120*F120</f>
        <v>5</v>
      </c>
      <c r="L120" s="106"/>
      <c r="M120" s="106"/>
      <c r="N120" s="136"/>
      <c r="O120" s="107"/>
    </row>
    <row r="121" spans="4:15">
      <c r="D121" s="131"/>
      <c r="E121" s="96"/>
      <c r="F121" s="96"/>
      <c r="G121" s="108"/>
      <c r="H121" s="108"/>
      <c r="I121" s="96"/>
      <c r="J121" s="96"/>
      <c r="K121" s="108"/>
      <c r="L121" s="106"/>
      <c r="M121" s="106"/>
      <c r="N121" s="136"/>
      <c r="O121" s="107"/>
    </row>
    <row r="122" spans="4:15">
      <c r="D122" s="131"/>
      <c r="E122" s="96" t="str">
        <f>"Cases reduced by "&amp;ABS(F122*100)&amp;"%, Contacts increased by "&amp;ABS(F123*100)&amp;"%"</f>
        <v>Cases reduced by 30%, Contacts increased by 30%</v>
      </c>
      <c r="F122" s="146">
        <f>-SAparam</f>
        <v>-0.3</v>
      </c>
      <c r="G122" s="108">
        <v>100</v>
      </c>
      <c r="H122" s="108">
        <f t="shared" ref="H122:H123" ca="1" si="19">IFERROR(INDIRECT(I122),"")</f>
        <v>100</v>
      </c>
      <c r="I122" s="96" t="s">
        <v>122</v>
      </c>
      <c r="J122" s="96"/>
      <c r="K122" s="108">
        <f>G122+G122*F122</f>
        <v>70</v>
      </c>
      <c r="L122" s="106">
        <v>67.516487499999997</v>
      </c>
      <c r="M122" s="106">
        <v>11.94375</v>
      </c>
      <c r="N122" s="136">
        <v>39.945208333333333</v>
      </c>
      <c r="O122" s="107">
        <v>6584.3633333333337</v>
      </c>
    </row>
    <row r="123" spans="4:15">
      <c r="D123" s="131"/>
      <c r="E123" s="96"/>
      <c r="F123" s="146">
        <f>SAparam</f>
        <v>0.3</v>
      </c>
      <c r="G123" s="108">
        <v>5</v>
      </c>
      <c r="H123" s="108">
        <f t="shared" ca="1" si="19"/>
        <v>5</v>
      </c>
      <c r="I123" s="96" t="s">
        <v>123</v>
      </c>
      <c r="J123" s="96"/>
      <c r="K123" s="108">
        <f>G123+G123*F123</f>
        <v>6.5</v>
      </c>
      <c r="L123" s="106"/>
      <c r="M123" s="106"/>
      <c r="N123" s="136"/>
      <c r="O123" s="107"/>
    </row>
    <row r="124" spans="4:15">
      <c r="D124" s="131"/>
      <c r="E124" s="96"/>
      <c r="F124" s="96"/>
      <c r="G124" s="108"/>
      <c r="H124" s="108"/>
      <c r="I124" s="96"/>
      <c r="J124" s="96"/>
      <c r="K124" s="108"/>
      <c r="L124" s="106"/>
      <c r="M124" s="106"/>
      <c r="N124" s="136"/>
      <c r="O124" s="107"/>
    </row>
    <row r="125" spans="4:15">
      <c r="D125" s="131"/>
      <c r="E125" s="96" t="str">
        <f>"Cases reduced by "&amp;ABS(F125*100)&amp;"%, Contacts increased by "&amp;ABS(F126*100)&amp;"%"</f>
        <v>Cases reduced by 30%, Contacts increased by 60%</v>
      </c>
      <c r="F125" s="146">
        <f>-SAparam</f>
        <v>-0.3</v>
      </c>
      <c r="G125" s="108">
        <v>100</v>
      </c>
      <c r="H125" s="108">
        <f t="shared" ref="H125:H129" ca="1" si="20">IFERROR(INDIRECT(I125),"")</f>
        <v>100</v>
      </c>
      <c r="I125" s="96" t="s">
        <v>122</v>
      </c>
      <c r="J125" s="96"/>
      <c r="K125" s="108">
        <f>G125+G125*F125</f>
        <v>70</v>
      </c>
      <c r="L125" s="106">
        <v>79.542924999999997</v>
      </c>
      <c r="M125" s="106">
        <v>11.94375</v>
      </c>
      <c r="N125" s="136">
        <v>49.163333333333334</v>
      </c>
      <c r="O125" s="107">
        <v>7757.913333333333</v>
      </c>
    </row>
    <row r="126" spans="4:15">
      <c r="D126" s="131"/>
      <c r="E126" s="96"/>
      <c r="F126" s="146">
        <f>2*SAparam</f>
        <v>0.6</v>
      </c>
      <c r="G126" s="108">
        <v>5</v>
      </c>
      <c r="H126" s="108">
        <f t="shared" ca="1" si="20"/>
        <v>5</v>
      </c>
      <c r="I126" s="96" t="s">
        <v>123</v>
      </c>
      <c r="J126" s="96"/>
      <c r="K126" s="108">
        <f>G126+G126*F126</f>
        <v>8</v>
      </c>
      <c r="L126" s="106"/>
      <c r="M126" s="106"/>
      <c r="N126" s="136"/>
      <c r="O126" s="107"/>
    </row>
    <row r="127" spans="4:15">
      <c r="D127" s="131"/>
      <c r="E127" s="96"/>
      <c r="F127" s="146"/>
      <c r="G127" s="108"/>
      <c r="H127" s="108"/>
      <c r="I127" s="96"/>
      <c r="J127" s="96"/>
      <c r="K127" s="108"/>
      <c r="L127" s="106"/>
      <c r="M127" s="106"/>
      <c r="N127" s="136"/>
      <c r="O127" s="107"/>
    </row>
    <row r="128" spans="4:15">
      <c r="D128" s="96" t="s">
        <v>162</v>
      </c>
      <c r="E128" s="96" t="str">
        <f>"Base-case number of cases, Contacts reduced by "&amp;ABS(F129*100)&amp;"%"</f>
        <v>Base-case number of cases, Contacts reduced by 60%</v>
      </c>
      <c r="F128" s="146">
        <v>0</v>
      </c>
      <c r="G128" s="108">
        <v>100</v>
      </c>
      <c r="H128" s="108">
        <f t="shared" ca="1" si="20"/>
        <v>100</v>
      </c>
      <c r="I128" s="96" t="s">
        <v>122</v>
      </c>
      <c r="J128" s="96"/>
      <c r="K128" s="108">
        <f>G128+G128*F128</f>
        <v>100</v>
      </c>
      <c r="L128" s="106">
        <v>44.910249999999998</v>
      </c>
      <c r="M128" s="106">
        <v>17.0625</v>
      </c>
      <c r="N128" s="136">
        <v>17.55833333333333</v>
      </c>
      <c r="O128" s="107">
        <v>4376.7333333333336</v>
      </c>
    </row>
    <row r="129" spans="4:15">
      <c r="D129" s="131"/>
      <c r="E129" s="96"/>
      <c r="F129" s="146">
        <f>-SAparam*2</f>
        <v>-0.6</v>
      </c>
      <c r="G129" s="108">
        <v>5</v>
      </c>
      <c r="H129" s="108">
        <f t="shared" ca="1" si="20"/>
        <v>5</v>
      </c>
      <c r="I129" s="96" t="s">
        <v>123</v>
      </c>
      <c r="J129" s="96"/>
      <c r="K129" s="108">
        <f>G129+G129*F129</f>
        <v>2</v>
      </c>
      <c r="L129" s="106"/>
      <c r="M129" s="106"/>
      <c r="N129" s="136"/>
      <c r="O129" s="107"/>
    </row>
    <row r="130" spans="4:15">
      <c r="D130" s="131"/>
      <c r="E130" s="96"/>
      <c r="F130" s="96"/>
      <c r="G130" s="108"/>
      <c r="H130" s="108"/>
      <c r="I130" s="96"/>
      <c r="J130" s="96"/>
      <c r="K130" s="108"/>
      <c r="L130" s="106"/>
      <c r="M130" s="106"/>
      <c r="N130" s="136"/>
      <c r="O130" s="107"/>
    </row>
    <row r="131" spans="4:15">
      <c r="D131" s="131"/>
      <c r="E131" s="96" t="str">
        <f>"Base-case number of cases, Contacts reduced by "&amp;ABS(F132*100)&amp;"%"</f>
        <v>Base-case number of cases, Contacts reduced by 30%</v>
      </c>
      <c r="F131" s="146">
        <v>0</v>
      </c>
      <c r="G131" s="108">
        <v>100</v>
      </c>
      <c r="H131" s="108">
        <f t="shared" ref="H131:H132" ca="1" si="21">IFERROR(INDIRECT(I131),"")</f>
        <v>100</v>
      </c>
      <c r="I131" s="96" t="s">
        <v>122</v>
      </c>
      <c r="J131" s="96"/>
      <c r="K131" s="108">
        <f>G131+G131*F131</f>
        <v>100</v>
      </c>
      <c r="L131" s="106">
        <v>62.090875000000004</v>
      </c>
      <c r="M131" s="106">
        <v>17.0625</v>
      </c>
      <c r="N131" s="136">
        <v>30.727083333333336</v>
      </c>
      <c r="O131" s="107">
        <v>6053.2333333333336</v>
      </c>
    </row>
    <row r="132" spans="4:15">
      <c r="D132" s="131"/>
      <c r="E132" s="96"/>
      <c r="F132" s="146">
        <f>-SAparam</f>
        <v>-0.3</v>
      </c>
      <c r="G132" s="108">
        <v>5</v>
      </c>
      <c r="H132" s="108">
        <f t="shared" ca="1" si="21"/>
        <v>5</v>
      </c>
      <c r="I132" s="96" t="s">
        <v>123</v>
      </c>
      <c r="J132" s="96"/>
      <c r="K132" s="108">
        <f>G132+G132*F132</f>
        <v>3.5</v>
      </c>
      <c r="L132" s="106"/>
      <c r="M132" s="106"/>
      <c r="N132" s="136"/>
      <c r="O132" s="107"/>
    </row>
    <row r="133" spans="4:15">
      <c r="D133" s="131"/>
      <c r="E133" s="96"/>
      <c r="F133" s="96"/>
      <c r="G133" s="108"/>
      <c r="H133" s="108"/>
      <c r="I133" s="96"/>
      <c r="J133" s="96"/>
      <c r="K133" s="108"/>
      <c r="L133" s="106"/>
      <c r="M133" s="106"/>
      <c r="N133" s="136"/>
      <c r="O133" s="107"/>
    </row>
    <row r="134" spans="4:15" ht="30">
      <c r="D134" s="131"/>
      <c r="E134" s="96" t="str">
        <f>"Base-case number of cases, Base-case number of contacts"</f>
        <v>Base-case number of cases, Base-case number of contacts</v>
      </c>
      <c r="F134" s="146">
        <v>0</v>
      </c>
      <c r="G134" s="108">
        <v>100</v>
      </c>
      <c r="H134" s="108">
        <f t="shared" ref="H134:H135" ca="1" si="22">IFERROR(INDIRECT(I134),"")</f>
        <v>100</v>
      </c>
      <c r="I134" s="96" t="s">
        <v>122</v>
      </c>
      <c r="J134" s="96"/>
      <c r="K134" s="108">
        <f>G134+G134*F134</f>
        <v>100</v>
      </c>
      <c r="L134" s="106">
        <v>79.271500000000003</v>
      </c>
      <c r="M134" s="106">
        <v>17.0625</v>
      </c>
      <c r="N134" s="136">
        <v>43.895833333333336</v>
      </c>
      <c r="O134" s="107">
        <v>7729.7333333333336</v>
      </c>
    </row>
    <row r="135" spans="4:15">
      <c r="D135" s="131"/>
      <c r="E135" s="96"/>
      <c r="F135" s="146">
        <v>0</v>
      </c>
      <c r="G135" s="108">
        <v>5</v>
      </c>
      <c r="H135" s="108">
        <f t="shared" ca="1" si="22"/>
        <v>5</v>
      </c>
      <c r="I135" s="96" t="s">
        <v>123</v>
      </c>
      <c r="J135" s="96"/>
      <c r="K135" s="108">
        <f>G135+G135*F135</f>
        <v>5</v>
      </c>
      <c r="L135" s="106"/>
      <c r="M135" s="106"/>
      <c r="N135" s="136"/>
      <c r="O135" s="107"/>
    </row>
    <row r="136" spans="4:15">
      <c r="D136" s="131"/>
      <c r="E136" s="96"/>
      <c r="F136" s="96"/>
      <c r="G136" s="108"/>
      <c r="H136" s="108"/>
      <c r="I136" s="96"/>
      <c r="J136" s="96"/>
      <c r="K136" s="108"/>
      <c r="L136" s="106"/>
      <c r="M136" s="106"/>
      <c r="N136" s="136"/>
      <c r="O136" s="107"/>
    </row>
    <row r="137" spans="4:15">
      <c r="D137" s="131"/>
      <c r="E137" s="96" t="str">
        <f>"Base-case number of cases, Contacts increased by "&amp;ABS(F138*100)&amp;"%"</f>
        <v>Base-case number of cases, Contacts increased by 30%</v>
      </c>
      <c r="F137" s="146">
        <v>0</v>
      </c>
      <c r="G137" s="108">
        <v>100</v>
      </c>
      <c r="H137" s="108">
        <f t="shared" ref="H137:H138" ca="1" si="23">IFERROR(INDIRECT(I137),"")</f>
        <v>100</v>
      </c>
      <c r="I137" s="96" t="s">
        <v>122</v>
      </c>
      <c r="J137" s="96"/>
      <c r="K137" s="108">
        <f>G137+G137*F137</f>
        <v>100</v>
      </c>
      <c r="L137" s="106">
        <v>96.452125000000009</v>
      </c>
      <c r="M137" s="106">
        <v>17.0625</v>
      </c>
      <c r="N137" s="136">
        <v>57.064583333333324</v>
      </c>
      <c r="O137" s="107">
        <v>9406.2333333333336</v>
      </c>
    </row>
    <row r="138" spans="4:15">
      <c r="D138" s="131"/>
      <c r="E138" s="96"/>
      <c r="F138" s="146">
        <f>SAparam</f>
        <v>0.3</v>
      </c>
      <c r="G138" s="108">
        <v>5</v>
      </c>
      <c r="H138" s="108">
        <f t="shared" ca="1" si="23"/>
        <v>5</v>
      </c>
      <c r="I138" s="96" t="s">
        <v>123</v>
      </c>
      <c r="J138" s="96"/>
      <c r="K138" s="108">
        <f>G138+G138*F138</f>
        <v>6.5</v>
      </c>
      <c r="L138" s="106"/>
      <c r="M138" s="106"/>
      <c r="N138" s="136"/>
      <c r="O138" s="107"/>
    </row>
    <row r="139" spans="4:15">
      <c r="D139" s="131"/>
      <c r="E139" s="96"/>
      <c r="F139" s="96"/>
      <c r="G139" s="108"/>
      <c r="H139" s="108"/>
      <c r="I139" s="96"/>
      <c r="J139" s="96"/>
      <c r="K139" s="108"/>
      <c r="L139" s="106"/>
      <c r="M139" s="106"/>
      <c r="N139" s="136"/>
      <c r="O139" s="107"/>
    </row>
    <row r="140" spans="4:15">
      <c r="D140" s="131"/>
      <c r="E140" s="96" t="str">
        <f>"Base-case number of cases, Contacts increased by "&amp;ABS(F141*100)&amp;"%"</f>
        <v>Base-case number of cases, Contacts increased by 60%</v>
      </c>
      <c r="F140" s="146">
        <v>0</v>
      </c>
      <c r="G140" s="108">
        <v>100</v>
      </c>
      <c r="H140" s="108">
        <f t="shared" ref="H140:H141" ca="1" si="24">IFERROR(INDIRECT(I140),"")</f>
        <v>100</v>
      </c>
      <c r="I140" s="96" t="s">
        <v>122</v>
      </c>
      <c r="J140" s="96"/>
      <c r="K140" s="108">
        <f>G140+G140*F140</f>
        <v>100</v>
      </c>
      <c r="L140" s="106">
        <v>113.63274999999997</v>
      </c>
      <c r="M140" s="106">
        <v>17.0625</v>
      </c>
      <c r="N140" s="136">
        <v>70.23333333333332</v>
      </c>
      <c r="O140" s="107">
        <v>11082.733333333334</v>
      </c>
    </row>
    <row r="141" spans="4:15">
      <c r="D141" s="131"/>
      <c r="E141" s="96"/>
      <c r="F141" s="146">
        <f>2*SAparam</f>
        <v>0.6</v>
      </c>
      <c r="G141" s="108">
        <v>5</v>
      </c>
      <c r="H141" s="108">
        <f t="shared" ca="1" si="24"/>
        <v>5</v>
      </c>
      <c r="I141" s="96" t="s">
        <v>123</v>
      </c>
      <c r="J141" s="96"/>
      <c r="K141" s="108">
        <f>G141+G141*F141</f>
        <v>8</v>
      </c>
      <c r="L141" s="106"/>
      <c r="M141" s="106"/>
      <c r="N141" s="136"/>
      <c r="O141" s="107"/>
    </row>
    <row r="142" spans="4:15">
      <c r="D142" s="131"/>
      <c r="E142" s="96"/>
      <c r="F142" s="96"/>
      <c r="G142" s="108"/>
      <c r="H142" s="108"/>
      <c r="I142" s="96"/>
      <c r="J142" s="96"/>
      <c r="K142" s="108"/>
      <c r="L142" s="106"/>
      <c r="M142" s="106"/>
      <c r="N142" s="136"/>
      <c r="O142" s="107"/>
    </row>
    <row r="143" spans="4:15">
      <c r="D143" s="96" t="str">
        <f>"Cases increased by "&amp;SAparam*100&amp;"%"</f>
        <v>Cases increased by 30%</v>
      </c>
      <c r="E143" s="96" t="str">
        <f>"Cases increased by "&amp;ABS(F143*100)&amp;"%, Contacts reduced by "&amp;ABS(F144*100)&amp;"%"</f>
        <v>Cases increased by 30%, Contacts reduced by 60%</v>
      </c>
      <c r="F143" s="146">
        <f>SAparam</f>
        <v>0.3</v>
      </c>
      <c r="G143" s="108">
        <v>100</v>
      </c>
      <c r="H143" s="108">
        <f t="shared" ref="H143:H144" ca="1" si="25">IFERROR(INDIRECT(I143),"")</f>
        <v>100</v>
      </c>
      <c r="I143" s="96" t="s">
        <v>122</v>
      </c>
      <c r="J143" s="96"/>
      <c r="K143" s="108">
        <f>G143+G143*F143</f>
        <v>130</v>
      </c>
      <c r="L143" s="106">
        <v>58.383324999999992</v>
      </c>
      <c r="M143" s="106">
        <v>22.181249999999999</v>
      </c>
      <c r="N143" s="136">
        <v>22.825833333333328</v>
      </c>
      <c r="O143" s="107">
        <v>5689.7533333333331</v>
      </c>
    </row>
    <row r="144" spans="4:15">
      <c r="D144" s="131"/>
      <c r="E144" s="96"/>
      <c r="F144" s="146">
        <f>-SAparam*2</f>
        <v>-0.6</v>
      </c>
      <c r="G144" s="108">
        <v>5</v>
      </c>
      <c r="H144" s="108">
        <f t="shared" ca="1" si="25"/>
        <v>5</v>
      </c>
      <c r="I144" s="96" t="s">
        <v>123</v>
      </c>
      <c r="J144" s="96"/>
      <c r="K144" s="108">
        <f>G144+G144*F144</f>
        <v>2</v>
      </c>
      <c r="L144" s="106"/>
      <c r="M144" s="106"/>
      <c r="N144" s="136"/>
      <c r="O144" s="107"/>
    </row>
    <row r="145" spans="4:15">
      <c r="D145" s="131"/>
      <c r="E145" s="96"/>
      <c r="F145" s="96"/>
      <c r="G145" s="108"/>
      <c r="H145" s="108"/>
      <c r="I145" s="96"/>
      <c r="J145" s="96"/>
      <c r="K145" s="108"/>
      <c r="L145" s="106"/>
      <c r="M145" s="106"/>
      <c r="N145" s="136"/>
      <c r="O145" s="107"/>
    </row>
    <row r="146" spans="4:15">
      <c r="D146" s="131"/>
      <c r="E146" s="96" t="str">
        <f>"Cases increased by "&amp;ABS(F146*100)&amp;"%, Contacts reduced by "&amp;ABS(F147*100)&amp;"%"</f>
        <v>Cases increased by 30%, Contacts reduced by 30%</v>
      </c>
      <c r="F146" s="146">
        <f>SAparam</f>
        <v>0.3</v>
      </c>
      <c r="G146" s="108">
        <v>100</v>
      </c>
      <c r="H146" s="108">
        <f t="shared" ref="H146:H147" ca="1" si="26">IFERROR(INDIRECT(I146),"")</f>
        <v>100</v>
      </c>
      <c r="I146" s="96" t="s">
        <v>122</v>
      </c>
      <c r="J146" s="96"/>
      <c r="K146" s="108">
        <f>G146+G146*F146</f>
        <v>130</v>
      </c>
      <c r="L146" s="106">
        <v>80.718137499999997</v>
      </c>
      <c r="M146" s="106">
        <v>22.181249999999999</v>
      </c>
      <c r="N146" s="136">
        <v>39.945208333333333</v>
      </c>
      <c r="O146" s="107">
        <v>7869.2033333333329</v>
      </c>
    </row>
    <row r="147" spans="4:15">
      <c r="D147" s="131"/>
      <c r="E147" s="96"/>
      <c r="F147" s="146">
        <f>-SAparam</f>
        <v>-0.3</v>
      </c>
      <c r="G147" s="108">
        <v>5</v>
      </c>
      <c r="H147" s="108">
        <f t="shared" ca="1" si="26"/>
        <v>5</v>
      </c>
      <c r="I147" s="96" t="s">
        <v>123</v>
      </c>
      <c r="J147" s="96"/>
      <c r="K147" s="108">
        <f>G147+G147*F147</f>
        <v>3.5</v>
      </c>
      <c r="L147" s="106"/>
      <c r="M147" s="106"/>
      <c r="N147" s="136"/>
      <c r="O147" s="107"/>
    </row>
    <row r="148" spans="4:15">
      <c r="D148" s="131"/>
      <c r="E148" s="96"/>
      <c r="F148" s="96"/>
      <c r="G148" s="108"/>
      <c r="H148" s="108"/>
      <c r="I148" s="96"/>
      <c r="J148" s="96"/>
      <c r="K148" s="108"/>
      <c r="L148" s="106"/>
      <c r="M148" s="106"/>
      <c r="N148" s="136"/>
      <c r="O148" s="107"/>
    </row>
    <row r="149" spans="4:15">
      <c r="D149" s="131"/>
      <c r="E149" s="96" t="str">
        <f>"Cases increased by "&amp;ABS(F149*100)&amp;"%, Base-case number of contacts"</f>
        <v>Cases increased by 30%, Base-case number of contacts</v>
      </c>
      <c r="F149" s="146">
        <f>SAparam</f>
        <v>0.3</v>
      </c>
      <c r="G149" s="108">
        <v>100</v>
      </c>
      <c r="H149" s="108">
        <f t="shared" ref="H149:H150" ca="1" si="27">IFERROR(INDIRECT(I149),"")</f>
        <v>100</v>
      </c>
      <c r="I149" s="96" t="s">
        <v>122</v>
      </c>
      <c r="J149" s="96"/>
      <c r="K149" s="108">
        <f>G149+G149*F149</f>
        <v>130</v>
      </c>
      <c r="L149" s="106">
        <v>103.05294999999998</v>
      </c>
      <c r="M149" s="106">
        <v>22.181249999999999</v>
      </c>
      <c r="N149" s="136">
        <v>57.064583333333324</v>
      </c>
      <c r="O149" s="107">
        <v>10048.653333333334</v>
      </c>
    </row>
    <row r="150" spans="4:15">
      <c r="D150" s="131"/>
      <c r="E150" s="96"/>
      <c r="F150" s="146">
        <v>0</v>
      </c>
      <c r="G150" s="108">
        <v>5</v>
      </c>
      <c r="H150" s="108">
        <f t="shared" ca="1" si="27"/>
        <v>5</v>
      </c>
      <c r="I150" s="96" t="s">
        <v>123</v>
      </c>
      <c r="J150" s="96"/>
      <c r="K150" s="108">
        <f>G150+G150*F150</f>
        <v>5</v>
      </c>
      <c r="L150" s="106"/>
      <c r="M150" s="106"/>
      <c r="N150" s="136"/>
      <c r="O150" s="107"/>
    </row>
    <row r="151" spans="4:15">
      <c r="D151" s="131"/>
      <c r="E151" s="96"/>
      <c r="F151" s="96"/>
      <c r="G151" s="108"/>
      <c r="H151" s="108"/>
      <c r="I151" s="96"/>
      <c r="J151" s="96"/>
      <c r="K151" s="108"/>
      <c r="L151" s="106"/>
      <c r="M151" s="106"/>
      <c r="N151" s="136"/>
      <c r="O151" s="107"/>
    </row>
    <row r="152" spans="4:15">
      <c r="D152" s="131"/>
      <c r="E152" s="96" t="str">
        <f>"Cases increased by "&amp;ABS(F152*100)&amp;"%, Contacts increased by "&amp;ABS(F153*100)&amp;"%"</f>
        <v>Cases increased by 30%, Contacts increased by 30%</v>
      </c>
      <c r="F152" s="146">
        <f>SAparam</f>
        <v>0.3</v>
      </c>
      <c r="G152" s="108">
        <v>100</v>
      </c>
      <c r="H152" s="108">
        <f t="shared" ref="H152:H153" ca="1" si="28">IFERROR(INDIRECT(I152),"")</f>
        <v>100</v>
      </c>
      <c r="I152" s="96" t="s">
        <v>122</v>
      </c>
      <c r="J152" s="96"/>
      <c r="K152" s="108">
        <f>G152+G152*F152</f>
        <v>130</v>
      </c>
      <c r="L152" s="106">
        <v>125.38776249999999</v>
      </c>
      <c r="M152" s="106">
        <v>22.181249999999999</v>
      </c>
      <c r="N152" s="136">
        <v>74.183958333333337</v>
      </c>
      <c r="O152" s="107">
        <v>12228.103333333333</v>
      </c>
    </row>
    <row r="153" spans="4:15">
      <c r="D153" s="131"/>
      <c r="E153" s="96"/>
      <c r="F153" s="146">
        <f>SAparam</f>
        <v>0.3</v>
      </c>
      <c r="G153" s="108">
        <v>5</v>
      </c>
      <c r="H153" s="108">
        <f t="shared" ca="1" si="28"/>
        <v>5</v>
      </c>
      <c r="I153" s="96" t="s">
        <v>123</v>
      </c>
      <c r="J153" s="96"/>
      <c r="K153" s="108">
        <f>G153+G153*F153</f>
        <v>6.5</v>
      </c>
      <c r="L153" s="106"/>
      <c r="M153" s="106"/>
      <c r="N153" s="136"/>
      <c r="O153" s="107"/>
    </row>
    <row r="154" spans="4:15">
      <c r="D154" s="131"/>
      <c r="E154" s="96"/>
      <c r="F154" s="96"/>
      <c r="G154" s="108"/>
      <c r="H154" s="108"/>
      <c r="I154" s="96"/>
      <c r="J154" s="96"/>
      <c r="K154" s="108"/>
      <c r="L154" s="106"/>
      <c r="M154" s="106"/>
      <c r="N154" s="136"/>
      <c r="O154" s="107"/>
    </row>
    <row r="155" spans="4:15">
      <c r="D155" s="131"/>
      <c r="E155" s="96" t="str">
        <f>"Cases increased by "&amp;ABS(F155*100)&amp;"%, Contacts increased by "&amp;ABS(F156*100)&amp;"%"</f>
        <v>Cases increased by 30%, Contacts increased by 60%</v>
      </c>
      <c r="F155" s="146">
        <f>SAparam</f>
        <v>0.3</v>
      </c>
      <c r="G155" s="108">
        <v>100</v>
      </c>
      <c r="H155" s="108">
        <f t="shared" ref="H155:H156" ca="1" si="29">IFERROR(INDIRECT(I155),"")</f>
        <v>100</v>
      </c>
      <c r="I155" s="96" t="s">
        <v>122</v>
      </c>
      <c r="J155" s="96"/>
      <c r="K155" s="108">
        <f>G155+G155*F155</f>
        <v>130</v>
      </c>
      <c r="L155" s="106">
        <v>147.72257500000001</v>
      </c>
      <c r="M155" s="106">
        <v>22.181249999999999</v>
      </c>
      <c r="N155" s="136">
        <v>91.303333333333313</v>
      </c>
      <c r="O155" s="107">
        <v>14407.553333333331</v>
      </c>
    </row>
    <row r="156" spans="4:15">
      <c r="D156" s="131"/>
      <c r="E156" s="96"/>
      <c r="F156" s="146">
        <f>2*SAparam</f>
        <v>0.6</v>
      </c>
      <c r="G156" s="108">
        <v>5</v>
      </c>
      <c r="H156" s="108">
        <f t="shared" ca="1" si="29"/>
        <v>5</v>
      </c>
      <c r="I156" s="96" t="s">
        <v>123</v>
      </c>
      <c r="J156" s="96"/>
      <c r="K156" s="108">
        <f>G156+G156*F156</f>
        <v>8</v>
      </c>
      <c r="L156" s="106"/>
      <c r="M156" s="106"/>
      <c r="N156" s="136"/>
      <c r="O156" s="107"/>
    </row>
    <row r="157" spans="4:15">
      <c r="D157" s="131"/>
      <c r="E157" s="96"/>
      <c r="F157" s="146"/>
      <c r="G157" s="108"/>
      <c r="H157" s="108"/>
      <c r="I157" s="96"/>
      <c r="J157" s="96"/>
      <c r="K157" s="108"/>
      <c r="L157" s="106"/>
      <c r="M157" s="106"/>
      <c r="N157" s="136"/>
      <c r="O157" s="107"/>
    </row>
    <row r="158" spans="4:15">
      <c r="D158" s="96" t="str">
        <f>"Cases increased by "&amp;2*SAparam*100&amp;"%"</f>
        <v>Cases increased by 60%</v>
      </c>
      <c r="E158" s="96" t="str">
        <f>"Cases increased by "&amp;ABS(F158*100)&amp;"%, Contacts reduced by "&amp;ABS(F159*100)&amp;"%"</f>
        <v>Cases increased by 60%, Contacts reduced by 60%</v>
      </c>
      <c r="F158" s="146">
        <f>2*SAparam</f>
        <v>0.6</v>
      </c>
      <c r="G158" s="108">
        <v>100</v>
      </c>
      <c r="H158" s="108">
        <f t="shared" ref="H158:H159" ca="1" si="30">IFERROR(INDIRECT(I158),"")</f>
        <v>100</v>
      </c>
      <c r="I158" s="96" t="s">
        <v>122</v>
      </c>
      <c r="J158" s="96"/>
      <c r="K158" s="108">
        <f>G158+G158*F158</f>
        <v>160</v>
      </c>
      <c r="L158" s="106">
        <v>71.856399999999994</v>
      </c>
      <c r="M158" s="106">
        <v>27.3</v>
      </c>
      <c r="N158" s="136">
        <v>28.093333333333334</v>
      </c>
      <c r="O158" s="107">
        <v>7002.7733333333335</v>
      </c>
    </row>
    <row r="159" spans="4:15">
      <c r="D159" s="131"/>
      <c r="E159" s="96"/>
      <c r="F159" s="146">
        <f>-SAparam*2</f>
        <v>-0.6</v>
      </c>
      <c r="G159" s="108">
        <v>5</v>
      </c>
      <c r="H159" s="108">
        <f t="shared" ca="1" si="30"/>
        <v>5</v>
      </c>
      <c r="I159" s="96" t="s">
        <v>123</v>
      </c>
      <c r="J159" s="96"/>
      <c r="K159" s="108">
        <f>G159+G159*F159</f>
        <v>2</v>
      </c>
      <c r="L159" s="106"/>
      <c r="M159" s="106"/>
      <c r="N159" s="136"/>
      <c r="O159" s="107"/>
    </row>
    <row r="160" spans="4:15">
      <c r="D160" s="131"/>
      <c r="E160" s="96"/>
      <c r="F160" s="96"/>
      <c r="G160" s="108"/>
      <c r="H160" s="108"/>
      <c r="I160" s="96"/>
      <c r="J160" s="96"/>
      <c r="K160" s="108"/>
      <c r="L160" s="106"/>
      <c r="M160" s="106"/>
      <c r="N160" s="136"/>
      <c r="O160" s="107"/>
    </row>
    <row r="161" spans="4:15">
      <c r="D161" s="131"/>
      <c r="E161" s="96" t="str">
        <f>"Cases increased by "&amp;ABS(F161*100)&amp;"%, Contacts reduced by "&amp;ABS(F162*100)&amp;"%"</f>
        <v>Cases increased by 60%, Contacts reduced by 30%</v>
      </c>
      <c r="F161" s="146">
        <f>2*SAparam</f>
        <v>0.6</v>
      </c>
      <c r="G161" s="108">
        <v>100</v>
      </c>
      <c r="H161" s="108">
        <f t="shared" ref="H161:H162" ca="1" si="31">IFERROR(INDIRECT(I161),"")</f>
        <v>100</v>
      </c>
      <c r="I161" s="96" t="s">
        <v>122</v>
      </c>
      <c r="J161" s="96"/>
      <c r="K161" s="108">
        <f>G161+G161*F161</f>
        <v>160</v>
      </c>
      <c r="L161" s="106">
        <v>99.345400000000012</v>
      </c>
      <c r="M161" s="106">
        <v>27.3</v>
      </c>
      <c r="N161" s="136">
        <v>49.163333333333334</v>
      </c>
      <c r="O161" s="107">
        <v>9685.1733333333341</v>
      </c>
    </row>
    <row r="162" spans="4:15">
      <c r="D162" s="131"/>
      <c r="E162" s="96"/>
      <c r="F162" s="146">
        <f>-SAparam</f>
        <v>-0.3</v>
      </c>
      <c r="G162" s="108">
        <v>5</v>
      </c>
      <c r="H162" s="108">
        <f t="shared" ca="1" si="31"/>
        <v>5</v>
      </c>
      <c r="I162" s="96" t="s">
        <v>123</v>
      </c>
      <c r="J162" s="96"/>
      <c r="K162" s="108">
        <f>G162+G162*F162</f>
        <v>3.5</v>
      </c>
      <c r="L162" s="106"/>
      <c r="M162" s="106"/>
      <c r="N162" s="136"/>
      <c r="O162" s="107"/>
    </row>
    <row r="163" spans="4:15">
      <c r="D163" s="131"/>
      <c r="E163" s="96"/>
      <c r="F163" s="96"/>
      <c r="G163" s="108"/>
      <c r="H163" s="108"/>
      <c r="I163" s="96"/>
      <c r="J163" s="96"/>
      <c r="K163" s="108"/>
      <c r="L163" s="106"/>
      <c r="M163" s="106"/>
      <c r="N163" s="136"/>
      <c r="O163" s="107"/>
    </row>
    <row r="164" spans="4:15">
      <c r="D164" s="131"/>
      <c r="E164" s="96" t="str">
        <f>"Cases increased by "&amp;ABS(F164*100)&amp;"%, Base-case number of contacts"</f>
        <v>Cases increased by 60%, Base-case number of contacts</v>
      </c>
      <c r="F164" s="146">
        <f>2*SAparam</f>
        <v>0.6</v>
      </c>
      <c r="G164" s="108">
        <v>100</v>
      </c>
      <c r="H164" s="108">
        <f t="shared" ref="H164:H165" ca="1" si="32">IFERROR(INDIRECT(I164),"")</f>
        <v>100</v>
      </c>
      <c r="I164" s="96" t="s">
        <v>122</v>
      </c>
      <c r="J164" s="96"/>
      <c r="K164" s="108">
        <f>G164+G164*F164</f>
        <v>160</v>
      </c>
      <c r="L164" s="106">
        <v>126.83439999999997</v>
      </c>
      <c r="M164" s="106">
        <v>27.3</v>
      </c>
      <c r="N164" s="136">
        <v>70.23333333333332</v>
      </c>
      <c r="O164" s="107">
        <v>12367.573333333332</v>
      </c>
    </row>
    <row r="165" spans="4:15">
      <c r="D165" s="131"/>
      <c r="E165" s="96"/>
      <c r="F165" s="146">
        <v>0</v>
      </c>
      <c r="G165" s="108">
        <v>5</v>
      </c>
      <c r="H165" s="108">
        <f t="shared" ca="1" si="32"/>
        <v>5</v>
      </c>
      <c r="I165" s="96" t="s">
        <v>123</v>
      </c>
      <c r="J165" s="96"/>
      <c r="K165" s="108">
        <f>G165+G165*F165</f>
        <v>5</v>
      </c>
      <c r="L165" s="106"/>
      <c r="M165" s="106"/>
      <c r="N165" s="136"/>
      <c r="O165" s="107"/>
    </row>
    <row r="166" spans="4:15">
      <c r="D166" s="131"/>
      <c r="E166" s="96"/>
      <c r="F166" s="96"/>
      <c r="G166" s="108"/>
      <c r="H166" s="108"/>
      <c r="I166" s="96"/>
      <c r="J166" s="96"/>
      <c r="K166" s="108"/>
      <c r="L166" s="106"/>
      <c r="M166" s="106"/>
      <c r="N166" s="136"/>
      <c r="O166" s="107"/>
    </row>
    <row r="167" spans="4:15">
      <c r="D167" s="131"/>
      <c r="E167" s="96" t="str">
        <f>"Cases increased by "&amp;ABS(F167*100)&amp;"%, Contacts increased by "&amp;ABS(F168*100)&amp;"%"</f>
        <v>Cases increased by 60%, Contacts increased by 30%</v>
      </c>
      <c r="F167" s="146">
        <f>2*SAparam</f>
        <v>0.6</v>
      </c>
      <c r="G167" s="108">
        <v>100</v>
      </c>
      <c r="H167" s="108">
        <f t="shared" ref="H167:H168" ca="1" si="33">IFERROR(INDIRECT(I167),"")</f>
        <v>100</v>
      </c>
      <c r="I167" s="96" t="s">
        <v>122</v>
      </c>
      <c r="J167" s="96"/>
      <c r="K167" s="108">
        <f>G167+G167*F167</f>
        <v>160</v>
      </c>
      <c r="L167" s="106">
        <v>154.32339999999999</v>
      </c>
      <c r="M167" s="106">
        <v>27.3</v>
      </c>
      <c r="N167" s="136">
        <v>91.303333333333313</v>
      </c>
      <c r="O167" s="107">
        <v>15049.973333333332</v>
      </c>
    </row>
    <row r="168" spans="4:15">
      <c r="D168" s="131"/>
      <c r="E168" s="96"/>
      <c r="F168" s="146">
        <f>SAparam</f>
        <v>0.3</v>
      </c>
      <c r="G168" s="108">
        <v>5</v>
      </c>
      <c r="H168" s="108">
        <f t="shared" ca="1" si="33"/>
        <v>5</v>
      </c>
      <c r="I168" s="96" t="s">
        <v>123</v>
      </c>
      <c r="J168" s="96"/>
      <c r="K168" s="108">
        <f>G168+G168*F168</f>
        <v>6.5</v>
      </c>
      <c r="L168" s="106"/>
      <c r="M168" s="106"/>
      <c r="N168" s="136"/>
      <c r="O168" s="107"/>
    </row>
    <row r="169" spans="4:15">
      <c r="D169" s="131"/>
      <c r="E169" s="96"/>
      <c r="F169" s="96"/>
      <c r="G169" s="108"/>
      <c r="H169" s="108"/>
      <c r="I169" s="96"/>
      <c r="J169" s="96"/>
      <c r="K169" s="108"/>
      <c r="L169" s="106"/>
      <c r="M169" s="106"/>
      <c r="N169" s="136"/>
      <c r="O169" s="107"/>
    </row>
    <row r="170" spans="4:15">
      <c r="D170" s="131"/>
      <c r="E170" s="96" t="str">
        <f>"Cases increased by "&amp;ABS(F170*100)&amp;"%, Contacts increased by "&amp;ABS(F171*100)&amp;"%"</f>
        <v>Cases increased by 60%, Contacts increased by 60%</v>
      </c>
      <c r="F170" s="146">
        <f>2*SAparam</f>
        <v>0.6</v>
      </c>
      <c r="G170" s="108">
        <v>100</v>
      </c>
      <c r="H170" s="108">
        <f t="shared" ref="H170:H171" ca="1" si="34">IFERROR(INDIRECT(I170),"")</f>
        <v>100</v>
      </c>
      <c r="I170" s="96" t="s">
        <v>122</v>
      </c>
      <c r="J170" s="96"/>
      <c r="K170" s="108">
        <f>G170+G170*F170</f>
        <v>160</v>
      </c>
      <c r="L170" s="106">
        <v>181.81240000000003</v>
      </c>
      <c r="M170" s="106">
        <v>27.3</v>
      </c>
      <c r="N170" s="136">
        <v>112.37333333333333</v>
      </c>
      <c r="O170" s="107">
        <v>17732.373333333333</v>
      </c>
    </row>
    <row r="171" spans="4:15">
      <c r="D171" s="131"/>
      <c r="E171" s="96"/>
      <c r="F171" s="146">
        <f>2*SAparam</f>
        <v>0.6</v>
      </c>
      <c r="G171" s="108">
        <v>5</v>
      </c>
      <c r="H171" s="108">
        <f t="shared" ca="1" si="34"/>
        <v>5</v>
      </c>
      <c r="I171" s="96" t="s">
        <v>123</v>
      </c>
      <c r="J171" s="96"/>
      <c r="K171" s="108">
        <f>G171+G171*F171</f>
        <v>8</v>
      </c>
      <c r="L171" s="106"/>
      <c r="M171" s="106"/>
      <c r="N171" s="136"/>
      <c r="O171" s="107"/>
    </row>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autoPageBreaks="0"/>
  </sheetPr>
  <dimension ref="A1:Q35"/>
  <sheetViews>
    <sheetView showGridLines="0" zoomScale="70" zoomScaleNormal="70" workbookViewId="0">
      <selection activeCell="J7" sqref="J7:M28"/>
    </sheetView>
  </sheetViews>
  <sheetFormatPr defaultColWidth="8.25" defaultRowHeight="20.25"/>
  <cols>
    <col min="1" max="1" width="8.25" style="58" customWidth="1"/>
    <col min="2" max="2" width="2.625" style="2" customWidth="1"/>
    <col min="3" max="3" width="5.125" style="59" customWidth="1"/>
    <col min="4" max="4" width="2.75" style="73" customWidth="1"/>
    <col min="5" max="5" width="55.25" style="73" customWidth="1"/>
    <col min="6" max="9" width="14.125" style="73" customWidth="1"/>
    <col min="10" max="10" width="55.875" style="73" customWidth="1"/>
    <col min="11" max="13" width="14.125" style="73" customWidth="1"/>
    <col min="14" max="16" width="8.25" style="73" customWidth="1"/>
    <col min="17" max="17" width="2.625" style="2" customWidth="1"/>
    <col min="18" max="16384" width="8.25" style="73"/>
  </cols>
  <sheetData>
    <row r="1" spans="1:17" s="56" customFormat="1" ht="18" customHeight="1">
      <c r="B1" s="2"/>
      <c r="C1" s="57"/>
      <c r="Q1" s="2"/>
    </row>
    <row r="2" spans="1:17" s="83" customFormat="1" ht="15" collapsed="1">
      <c r="B2" s="5"/>
      <c r="C2" s="309"/>
      <c r="D2" s="309"/>
      <c r="E2" s="309"/>
      <c r="F2" s="309"/>
      <c r="G2" s="309"/>
      <c r="H2" s="309"/>
      <c r="I2" s="196"/>
      <c r="J2" s="196"/>
      <c r="K2" s="196"/>
      <c r="L2" s="196"/>
      <c r="M2" s="196"/>
      <c r="N2" s="128"/>
      <c r="O2" s="128"/>
      <c r="P2" s="128"/>
      <c r="Q2" s="1"/>
    </row>
    <row r="3" spans="1:17" s="2" customFormat="1" ht="45" customHeight="1">
      <c r="B3" s="5"/>
      <c r="C3" s="310" t="s">
        <v>154</v>
      </c>
      <c r="D3" s="310"/>
      <c r="E3" s="310"/>
      <c r="F3" s="310"/>
      <c r="G3" s="310"/>
      <c r="H3" s="310"/>
      <c r="I3" s="310"/>
      <c r="J3" s="310"/>
      <c r="K3" s="310"/>
      <c r="L3" s="310"/>
      <c r="M3" s="310"/>
      <c r="N3" s="310"/>
      <c r="O3" s="310"/>
      <c r="P3" s="310"/>
      <c r="Q3" s="1"/>
    </row>
    <row r="4" spans="1:17" s="60" customFormat="1">
      <c r="A4" s="58"/>
      <c r="B4" s="5"/>
      <c r="C4" s="59"/>
      <c r="D4" s="61"/>
      <c r="E4" s="63"/>
      <c r="F4" s="73"/>
      <c r="G4" s="73"/>
      <c r="H4" s="73"/>
      <c r="I4" s="73"/>
      <c r="J4" s="73"/>
      <c r="K4" s="73"/>
      <c r="L4" s="73"/>
      <c r="M4" s="73"/>
      <c r="N4" s="73"/>
      <c r="O4" s="73"/>
      <c r="P4" s="73"/>
      <c r="Q4" s="20"/>
    </row>
    <row r="5" spans="1:17" s="60" customFormat="1">
      <c r="A5" s="58"/>
      <c r="B5" s="5"/>
      <c r="C5" s="59"/>
      <c r="D5" s="61"/>
      <c r="E5" s="362" t="s">
        <v>169</v>
      </c>
      <c r="F5" s="362"/>
      <c r="G5" s="362"/>
      <c r="H5" s="362"/>
      <c r="I5"/>
      <c r="J5" s="363" t="s">
        <v>170</v>
      </c>
      <c r="K5" s="363"/>
      <c r="L5" s="363"/>
      <c r="M5" s="363"/>
      <c r="N5" s="73"/>
      <c r="O5" s="73"/>
      <c r="P5" s="73"/>
      <c r="Q5" s="20"/>
    </row>
    <row r="6" spans="1:17" s="60" customFormat="1" ht="31.5">
      <c r="A6" s="58"/>
      <c r="B6" s="5"/>
      <c r="C6" s="59"/>
      <c r="D6" s="61"/>
      <c r="E6" s="205" t="s">
        <v>116</v>
      </c>
      <c r="F6" s="129" t="s">
        <v>87</v>
      </c>
      <c r="G6" s="129" t="s">
        <v>86</v>
      </c>
      <c r="H6" s="129" t="s">
        <v>155</v>
      </c>
      <c r="I6"/>
      <c r="J6" s="205" t="s">
        <v>116</v>
      </c>
      <c r="K6" s="199" t="s">
        <v>87</v>
      </c>
      <c r="L6" s="199" t="s">
        <v>86</v>
      </c>
      <c r="M6" s="199" t="s">
        <v>155</v>
      </c>
      <c r="Q6" s="1"/>
    </row>
    <row r="7" spans="1:17" s="60" customFormat="1">
      <c r="A7" s="58"/>
      <c r="B7" s="5"/>
      <c r="C7" s="59"/>
      <c r="D7" s="61"/>
      <c r="E7" s="137" t="str">
        <f>'Sensitivity Setup'!$E$72</f>
        <v>Productive hours per employee per week +/- 30%</v>
      </c>
      <c r="F7" s="139">
        <f t="array" ref="F7">IF(INDEX('Sensitivity Setup'!$D$7:$O$171,MATCH('Tornado Setup'!$E7&amp;"Low",'Sensitivity Setup'!$E$7:$E$171&amp;'Sensitivity Setup'!$F$7:$F$171,0),MATCH(DSA_tornado_select,'Sensitivity Setup'!$D$7:$O$7,0))=FALSE,tornado_center,
INDEX('Sensitivity Setup'!$D$7:$O$171,MATCH('Tornado Setup'!$E7&amp;"Low",'Sensitivity Setup'!$E$7:$E$171&amp;'Sensitivity Setup'!$F$7:$F$171,0),MATCH(DSA_tornado_select,'Sensitivity Setup'!$D$7:$O$7,0)))</f>
        <v>108.00900000000001</v>
      </c>
      <c r="G7" s="139">
        <f t="array" ref="G7">IF(INDEX('Sensitivity Setup'!$D$7:$O$171,MATCH('Tornado Setup'!$E7&amp;"High",'Sensitivity Setup'!$E$7:$E$171&amp;'Sensitivity Setup'!$F$7:$F$171,0),MATCH(DSA_tornado_select,'Sensitivity Setup'!$D$7:$O$7,0))=FALSE,tornado_center,
INDEX('Sensitivity Setup'!$D$7:$O$171,MATCH('Tornado Setup'!$E7&amp;"High",'Sensitivity Setup'!$E$7:$E$171&amp;'Sensitivity Setup'!$F$7:$F$171,0),MATCH(DSA_tornado_select,'Sensitivity Setup'!$D$7:$O$7,0)))</f>
        <v>63.79746153846154</v>
      </c>
      <c r="H7" s="138">
        <f t="shared" ref="H7:H28" si="0">IFERROR(ABS(F7-G7),0)*1</f>
        <v>44.211538461538474</v>
      </c>
      <c r="I7"/>
      <c r="J7" s="137" t="s">
        <v>180</v>
      </c>
      <c r="K7" s="139">
        <v>55.490050000000004</v>
      </c>
      <c r="L7" s="139">
        <v>103.05294999999998</v>
      </c>
      <c r="M7" s="206">
        <v>47.562899999999978</v>
      </c>
      <c r="Q7" s="4"/>
    </row>
    <row r="8" spans="1:17" s="60" customFormat="1">
      <c r="A8" s="58"/>
      <c r="B8" s="5"/>
      <c r="C8" s="59"/>
      <c r="D8" s="61"/>
      <c r="E8" s="77" t="str">
        <f>'Sensitivity Setup'!$E$12</f>
        <v>New cases per day +/- 30%</v>
      </c>
      <c r="F8" s="139">
        <f t="array" ref="F8">IF(INDEX('Sensitivity Setup'!$D$7:$O$171,MATCH('Tornado Setup'!$E8&amp;"Low",'Sensitivity Setup'!$E$7:$E$171&amp;'Sensitivity Setup'!$F$7:$F$171,0),MATCH(DSA_tornado_select,'Sensitivity Setup'!$D$7:$O$7,0))=FALSE,tornado_center,
INDEX('Sensitivity Setup'!$D$7:$O$171,MATCH('Tornado Setup'!$E8&amp;"Low",'Sensitivity Setup'!$E$7:$E$171&amp;'Sensitivity Setup'!$F$7:$F$171,0),MATCH(DSA_tornado_select,'Sensitivity Setup'!$D$7:$O$7,0)))</f>
        <v>55.490050000000004</v>
      </c>
      <c r="G8" s="139">
        <f t="array" ref="G8">IF(INDEX('Sensitivity Setup'!$D$7:$O$171,MATCH('Tornado Setup'!$E8&amp;"High",'Sensitivity Setup'!$E$7:$E$171&amp;'Sensitivity Setup'!$F$7:$F$171,0),MATCH(DSA_tornado_select,'Sensitivity Setup'!$D$7:$O$7,0))=FALSE,tornado_center,
INDEX('Sensitivity Setup'!$D$7:$O$171,MATCH('Tornado Setup'!$E8&amp;"High",'Sensitivity Setup'!$E$7:$E$171&amp;'Sensitivity Setup'!$F$7:$F$171,0),MATCH(DSA_tornado_select,'Sensitivity Setup'!$D$7:$O$7,0)))</f>
        <v>103.05294999999998</v>
      </c>
      <c r="H8" s="138">
        <f t="shared" si="0"/>
        <v>47.562899999999978</v>
      </c>
      <c r="I8"/>
      <c r="J8" s="137" t="s">
        <v>179</v>
      </c>
      <c r="K8" s="139">
        <v>108.00900000000001</v>
      </c>
      <c r="L8" s="139">
        <v>63.79746153846154</v>
      </c>
      <c r="M8" s="206">
        <v>44.211538461538474</v>
      </c>
      <c r="Q8" s="1"/>
    </row>
    <row r="9" spans="1:17" s="60" customFormat="1">
      <c r="A9" s="58"/>
      <c r="B9" s="5"/>
      <c r="C9" s="59"/>
      <c r="D9" s="61"/>
      <c r="E9" s="137" t="str">
        <f>'Sensitivity Setup'!$E$24</f>
        <v>Minutes spent on each case reached +/- 30%</v>
      </c>
      <c r="F9" s="139">
        <f t="array" ref="F9">IF(INDEX('Sensitivity Setup'!$D$7:$O$171,MATCH('Tornado Setup'!$E9&amp;"Low",'Sensitivity Setup'!$E$7:$E$171&amp;'Sensitivity Setup'!$F$7:$F$171,0),MATCH(DSA_tornado_select,'Sensitivity Setup'!$D$7:$O$7,0))=FALSE,tornado_center,
INDEX('Sensitivity Setup'!$D$7:$O$171,MATCH('Tornado Setup'!$E9&amp;"Low",'Sensitivity Setup'!$E$7:$E$171&amp;'Sensitivity Setup'!$F$7:$F$171,0),MATCH(DSA_tornado_select,'Sensitivity Setup'!$D$7:$O$7,0)))</f>
        <v>74.218374999999995</v>
      </c>
      <c r="G9" s="139">
        <f t="array" ref="G9">IF(INDEX('Sensitivity Setup'!$D$7:$O$171,MATCH('Tornado Setup'!$E9&amp;"High",'Sensitivity Setup'!$E$7:$E$171&amp;'Sensitivity Setup'!$F$7:$F$171,0),MATCH(DSA_tornado_select,'Sensitivity Setup'!$D$7:$O$7,0))=FALSE,tornado_center,
INDEX('Sensitivity Setup'!$D$7:$O$171,MATCH('Tornado Setup'!$E9&amp;"High",'Sensitivity Setup'!$E$7:$E$171&amp;'Sensitivity Setup'!$F$7:$F$171,0),MATCH(DSA_tornado_select,'Sensitivity Setup'!$D$7:$O$7,0)))</f>
        <v>84.324625000000012</v>
      </c>
      <c r="H9" s="138">
        <f t="shared" si="0"/>
        <v>10.106250000000017</v>
      </c>
      <c r="I9"/>
      <c r="J9" s="137" t="s">
        <v>182</v>
      </c>
      <c r="K9" s="139">
        <v>57.415050000000001</v>
      </c>
      <c r="L9" s="139">
        <v>101.12794999999998</v>
      </c>
      <c r="M9" s="206">
        <v>43.712899999999983</v>
      </c>
      <c r="Q9" s="1"/>
    </row>
    <row r="10" spans="1:17" s="60" customFormat="1">
      <c r="A10" s="58"/>
      <c r="B10" s="5"/>
      <c r="C10" s="59"/>
      <c r="D10" s="61"/>
      <c r="E10" s="137" t="str">
        <f>'Sensitivity Setup'!$E$20</f>
        <v>Proportion of cases reached +/- 30%</v>
      </c>
      <c r="F10" s="139">
        <f t="array" ref="F10">IF(INDEX('Sensitivity Setup'!$D$7:$O$171,MATCH('Tornado Setup'!$E10&amp;"Low",'Sensitivity Setup'!$E$7:$E$171&amp;'Sensitivity Setup'!$F$7:$F$171,0),MATCH(DSA_tornado_select,'Sensitivity Setup'!$D$7:$O$7,0))=FALSE,tornado_center,
INDEX('Sensitivity Setup'!$D$7:$O$171,MATCH('Tornado Setup'!$E10&amp;"Low",'Sensitivity Setup'!$E$7:$E$171&amp;'Sensitivity Setup'!$F$7:$F$171,0),MATCH(DSA_tornado_select,'Sensitivity Setup'!$D$7:$O$7,0)))</f>
        <v>57.415050000000001</v>
      </c>
      <c r="G10" s="139">
        <f t="array" ref="G10">IF(INDEX('Sensitivity Setup'!$D$7:$O$171,MATCH('Tornado Setup'!$E10&amp;"High",'Sensitivity Setup'!$E$7:$E$171&amp;'Sensitivity Setup'!$F$7:$F$171,0),MATCH(DSA_tornado_select,'Sensitivity Setup'!$D$7:$O$7,0))=FALSE,tornado_center,
INDEX('Sensitivity Setup'!$D$7:$O$171,MATCH('Tornado Setup'!$E10&amp;"High",'Sensitivity Setup'!$E$7:$E$171&amp;'Sensitivity Setup'!$F$7:$F$171,0),MATCH(DSA_tornado_select,'Sensitivity Setup'!$D$7:$O$7,0)))</f>
        <v>101.12794999999998</v>
      </c>
      <c r="H10" s="138">
        <f t="shared" si="0"/>
        <v>43.712899999999983</v>
      </c>
      <c r="I10"/>
      <c r="J10" s="137" t="s">
        <v>185</v>
      </c>
      <c r="K10" s="139">
        <v>62.090875000000004</v>
      </c>
      <c r="L10" s="139">
        <v>96.452125000000009</v>
      </c>
      <c r="M10" s="206">
        <v>34.361250000000005</v>
      </c>
      <c r="Q10" s="1"/>
    </row>
    <row r="11" spans="1:17" s="60" customFormat="1">
      <c r="A11" s="58"/>
      <c r="B11" s="5"/>
      <c r="C11" s="59"/>
      <c r="D11" s="61"/>
      <c r="E11" s="137" t="str">
        <f>'Sensitivity Setup'!$E$28</f>
        <v>Minutes spent on each case not reached +/- 30%</v>
      </c>
      <c r="F11" s="139">
        <f t="array" ref="F11">IF(INDEX('Sensitivity Setup'!$D$7:$O$171,MATCH('Tornado Setup'!$E11&amp;"Low",'Sensitivity Setup'!$E$7:$E$171&amp;'Sensitivity Setup'!$F$7:$F$171,0),MATCH(DSA_tornado_select,'Sensitivity Setup'!$D$7:$O$7,0))=FALSE,tornado_center,
INDEX('Sensitivity Setup'!$D$7:$O$171,MATCH('Tornado Setup'!$E11&amp;"Low",'Sensitivity Setup'!$E$7:$E$171&amp;'Sensitivity Setup'!$F$7:$F$171,0),MATCH(DSA_tornado_select,'Sensitivity Setup'!$D$7:$O$7,0)))</f>
        <v>78.694000000000003</v>
      </c>
      <c r="G11" s="139">
        <f t="array" ref="G11">IF(INDEX('Sensitivity Setup'!$D$7:$O$171,MATCH('Tornado Setup'!$E11&amp;"High",'Sensitivity Setup'!$E$7:$E$171&amp;'Sensitivity Setup'!$F$7:$F$171,0),MATCH(DSA_tornado_select,'Sensitivity Setup'!$D$7:$O$7,0))=FALSE,tornado_center,
INDEX('Sensitivity Setup'!$D$7:$O$171,MATCH('Tornado Setup'!$E11&amp;"High",'Sensitivity Setup'!$E$7:$E$171&amp;'Sensitivity Setup'!$F$7:$F$171,0),MATCH(DSA_tornado_select,'Sensitivity Setup'!$D$7:$O$7,0)))</f>
        <v>79.849000000000004</v>
      </c>
      <c r="H11" s="138">
        <f t="shared" si="0"/>
        <v>1.1550000000000011</v>
      </c>
      <c r="I11"/>
      <c r="J11" s="137" t="s">
        <v>186</v>
      </c>
      <c r="K11" s="139">
        <v>68.828374999999994</v>
      </c>
      <c r="L11" s="139">
        <v>89.714624999999998</v>
      </c>
      <c r="M11" s="206">
        <v>20.886250000000004</v>
      </c>
      <c r="Q11" s="1"/>
    </row>
    <row r="12" spans="1:17" s="60" customFormat="1">
      <c r="A12" s="58"/>
      <c r="B12" s="5"/>
      <c r="C12" s="59"/>
      <c r="D12" s="61"/>
      <c r="E12" s="137" t="str">
        <f>'Sensitivity Setup'!$E$56</f>
        <v>Minutes spent on each follow-up text message +/- 30%</v>
      </c>
      <c r="F12" s="139">
        <f t="array" ref="F12">IF(INDEX('Sensitivity Setup'!$D$7:$O$171,MATCH('Tornado Setup'!$E12&amp;"Low",'Sensitivity Setup'!$E$7:$E$171&amp;'Sensitivity Setup'!$F$7:$F$171,0),MATCH(DSA_tornado_select,'Sensitivity Setup'!$D$7:$O$7,0))=FALSE,tornado_center,
INDEX('Sensitivity Setup'!$D$7:$O$171,MATCH('Tornado Setup'!$E12&amp;"Low",'Sensitivity Setup'!$E$7:$E$171&amp;'Sensitivity Setup'!$F$7:$F$171,0),MATCH(DSA_tornado_select,'Sensitivity Setup'!$D$7:$O$7,0)))</f>
        <v>79.103062500000007</v>
      </c>
      <c r="G12" s="139">
        <f t="array" ref="G12">IF(INDEX('Sensitivity Setup'!$D$7:$O$171,MATCH('Tornado Setup'!$E12&amp;"High",'Sensitivity Setup'!$E$7:$E$171&amp;'Sensitivity Setup'!$F$7:$F$171,0),MATCH(DSA_tornado_select,'Sensitivity Setup'!$D$7:$O$7,0))=FALSE,tornado_center,
INDEX('Sensitivity Setup'!$D$7:$O$171,MATCH('Tornado Setup'!$E12&amp;"High",'Sensitivity Setup'!$E$7:$E$171&amp;'Sensitivity Setup'!$F$7:$F$171,0),MATCH(DSA_tornado_select,'Sensitivity Setup'!$D$7:$O$7,0)))</f>
        <v>79.439937499999999</v>
      </c>
      <c r="H12" s="138">
        <f t="shared" si="0"/>
        <v>0.33687499999999204</v>
      </c>
      <c r="I12"/>
      <c r="J12" s="137" t="s">
        <v>187</v>
      </c>
      <c r="K12" s="139">
        <v>71.691812499999997</v>
      </c>
      <c r="L12" s="139">
        <v>86.851187499999995</v>
      </c>
      <c r="M12" s="206">
        <v>15.159374999999997</v>
      </c>
      <c r="Q12" s="1"/>
    </row>
    <row r="13" spans="1:17" s="60" customFormat="1">
      <c r="A13" s="58"/>
      <c r="B13" s="5"/>
      <c r="C13" s="59"/>
      <c r="D13" s="61"/>
      <c r="E13" s="77" t="str">
        <f>'Sensitivity Setup'!$E$16</f>
        <v>Average number of contacts per case +/- 30%</v>
      </c>
      <c r="F13" s="139">
        <f t="array" ref="F13">IF(INDEX('Sensitivity Setup'!$D$7:$O$171,MATCH('Tornado Setup'!$E13&amp;"Low",'Sensitivity Setup'!$E$7:$E$171&amp;'Sensitivity Setup'!$F$7:$F$171,0),MATCH(DSA_tornado_select,'Sensitivity Setup'!$D$7:$O$7,0))=FALSE,tornado_center,
INDEX('Sensitivity Setup'!$D$7:$O$171,MATCH('Tornado Setup'!$E13&amp;"Low",'Sensitivity Setup'!$E$7:$E$171&amp;'Sensitivity Setup'!$F$7:$F$171,0),MATCH(DSA_tornado_select,'Sensitivity Setup'!$D$7:$O$7,0)))</f>
        <v>62.090875000000004</v>
      </c>
      <c r="G13" s="139">
        <f t="array" ref="G13">IF(INDEX('Sensitivity Setup'!$D$7:$O$171,MATCH('Tornado Setup'!$E13&amp;"High",'Sensitivity Setup'!$E$7:$E$171&amp;'Sensitivity Setup'!$F$7:$F$171,0),MATCH(DSA_tornado_select,'Sensitivity Setup'!$D$7:$O$7,0))=FALSE,tornado_center,
INDEX('Sensitivity Setup'!$D$7:$O$171,MATCH('Tornado Setup'!$E13&amp;"High",'Sensitivity Setup'!$E$7:$E$171&amp;'Sensitivity Setup'!$F$7:$F$171,0),MATCH(DSA_tornado_select,'Sensitivity Setup'!$D$7:$O$7,0)))</f>
        <v>96.452125000000009</v>
      </c>
      <c r="H13" s="138">
        <f t="shared" si="0"/>
        <v>34.361250000000005</v>
      </c>
      <c r="I13"/>
      <c r="J13" s="137" t="s">
        <v>181</v>
      </c>
      <c r="K13" s="139">
        <v>74.218374999999995</v>
      </c>
      <c r="L13" s="139">
        <v>84.324625000000012</v>
      </c>
      <c r="M13" s="206">
        <v>10.106250000000017</v>
      </c>
      <c r="Q13" s="1"/>
    </row>
    <row r="14" spans="1:17" s="60" customFormat="1">
      <c r="A14" s="58"/>
      <c r="B14" s="5"/>
      <c r="C14" s="59"/>
      <c r="D14" s="61"/>
      <c r="E14" s="137" t="str">
        <f>'Sensitivity Setup'!$E$32</f>
        <v>Proportion of contacts reached +/- 30%</v>
      </c>
      <c r="F14" s="139">
        <f t="array" ref="F14">IF(INDEX('Sensitivity Setup'!$D$7:$O$171,MATCH('Tornado Setup'!$E14&amp;"Low",'Sensitivity Setup'!$E$7:$E$171&amp;'Sensitivity Setup'!$F$7:$F$171,0),MATCH(DSA_tornado_select,'Sensitivity Setup'!$D$7:$O$7,0))=FALSE,tornado_center,
INDEX('Sensitivity Setup'!$D$7:$O$171,MATCH('Tornado Setup'!$E14&amp;"Low",'Sensitivity Setup'!$E$7:$E$171&amp;'Sensitivity Setup'!$F$7:$F$171,0),MATCH(DSA_tornado_select,'Sensitivity Setup'!$D$7:$O$7,0)))</f>
        <v>68.828374999999994</v>
      </c>
      <c r="G14" s="139">
        <f t="array" ref="G14">IF(INDEX('Sensitivity Setup'!$D$7:$O$171,MATCH('Tornado Setup'!$E14&amp;"High",'Sensitivity Setup'!$E$7:$E$171&amp;'Sensitivity Setup'!$F$7:$F$171,0),MATCH(DSA_tornado_select,'Sensitivity Setup'!$D$7:$O$7,0))=FALSE,tornado_center,
INDEX('Sensitivity Setup'!$D$7:$O$171,MATCH('Tornado Setup'!$E14&amp;"High",'Sensitivity Setup'!$E$7:$E$171&amp;'Sensitivity Setup'!$F$7:$F$171,0),MATCH(DSA_tornado_select,'Sensitivity Setup'!$D$7:$O$7,0)))</f>
        <v>89.714624999999998</v>
      </c>
      <c r="H14" s="138">
        <f t="shared" si="0"/>
        <v>20.886250000000004</v>
      </c>
      <c r="I14"/>
      <c r="J14" s="137" t="s">
        <v>225</v>
      </c>
      <c r="K14" s="139">
        <v>84.507500000000007</v>
      </c>
      <c r="L14" s="139">
        <v>76.452115384615382</v>
      </c>
      <c r="M14" s="206">
        <v>8.0553846153846251</v>
      </c>
      <c r="Q14" s="1"/>
    </row>
    <row r="15" spans="1:17" s="60" customFormat="1">
      <c r="A15" s="58"/>
      <c r="B15" s="5"/>
      <c r="C15" s="59"/>
      <c r="D15" s="61"/>
      <c r="E15" s="137" t="str">
        <f>'Sensitivity Setup'!$E$36</f>
        <v>Minutes spent on each contact reached +/- 30%</v>
      </c>
      <c r="F15" s="139">
        <f t="array" ref="F15">IF(INDEX('Sensitivity Setup'!$D$7:$O$171,MATCH('Tornado Setup'!$E15&amp;"Low",'Sensitivity Setup'!$E$7:$E$171&amp;'Sensitivity Setup'!$F$7:$F$171,0),MATCH(DSA_tornado_select,'Sensitivity Setup'!$D$7:$O$7,0))=FALSE,tornado_center,
INDEX('Sensitivity Setup'!$D$7:$O$171,MATCH('Tornado Setup'!$E15&amp;"Low",'Sensitivity Setup'!$E$7:$E$171&amp;'Sensitivity Setup'!$F$7:$F$171,0),MATCH(DSA_tornado_select,'Sensitivity Setup'!$D$7:$O$7,0)))</f>
        <v>71.691812499999997</v>
      </c>
      <c r="G15" s="139">
        <f t="array" ref="G15">IF(INDEX('Sensitivity Setup'!$D$7:$O$171,MATCH('Tornado Setup'!$E15&amp;"High",'Sensitivity Setup'!$E$7:$E$171&amp;'Sensitivity Setup'!$F$7:$F$171,0),MATCH(DSA_tornado_select,'Sensitivity Setup'!$D$7:$O$7,0))=FALSE,tornado_center,
INDEX('Sensitivity Setup'!$D$7:$O$171,MATCH('Tornado Setup'!$E15&amp;"High",'Sensitivity Setup'!$E$7:$E$171&amp;'Sensitivity Setup'!$F$7:$F$171,0),MATCH(DSA_tornado_select,'Sensitivity Setup'!$D$7:$O$7,0)))</f>
        <v>86.851187499999995</v>
      </c>
      <c r="H15" s="138">
        <f t="shared" si="0"/>
        <v>15.159374999999997</v>
      </c>
      <c r="I15"/>
      <c r="J15" s="77" t="s">
        <v>188</v>
      </c>
      <c r="K15" s="139">
        <v>75.902749999999997</v>
      </c>
      <c r="L15" s="139">
        <v>82.640249999999995</v>
      </c>
      <c r="M15" s="206">
        <v>6.7374999999999972</v>
      </c>
      <c r="Q15" s="1"/>
    </row>
    <row r="16" spans="1:17" s="60" customFormat="1">
      <c r="A16" s="58"/>
      <c r="B16" s="5"/>
      <c r="C16" s="59"/>
      <c r="D16" s="61"/>
      <c r="E16" s="137" t="str">
        <f>'Sensitivity Setup'!$E$44</f>
        <v>Number of follow-up calls +/- 30%</v>
      </c>
      <c r="F16" s="139">
        <f t="array" ref="F16">IF(INDEX('Sensitivity Setup'!$D$7:$O$171,MATCH('Tornado Setup'!$E16&amp;"Low",'Sensitivity Setup'!$E$7:$E$171&amp;'Sensitivity Setup'!$F$7:$F$171,0),MATCH(DSA_tornado_select,'Sensitivity Setup'!$D$7:$O$7,0))=FALSE,tornado_center,
INDEX('Sensitivity Setup'!$D$7:$O$171,MATCH('Tornado Setup'!$E16&amp;"Low",'Sensitivity Setup'!$E$7:$E$171&amp;'Sensitivity Setup'!$F$7:$F$171,0),MATCH(DSA_tornado_select,'Sensitivity Setup'!$D$7:$O$7,0)))</f>
        <v>75.902749999999997</v>
      </c>
      <c r="G16" s="139">
        <f t="array" ref="G16">IF(INDEX('Sensitivity Setup'!$D$7:$O$171,MATCH('Tornado Setup'!$E16&amp;"High",'Sensitivity Setup'!$E$7:$E$171&amp;'Sensitivity Setup'!$F$7:$F$171,0),MATCH(DSA_tornado_select,'Sensitivity Setup'!$D$7:$O$7,0))=FALSE,tornado_center,
INDEX('Sensitivity Setup'!$D$7:$O$171,MATCH('Tornado Setup'!$E16&amp;"High",'Sensitivity Setup'!$E$7:$E$171&amp;'Sensitivity Setup'!$F$7:$F$171,0),MATCH(DSA_tornado_select,'Sensitivity Setup'!$D$7:$O$7,0)))</f>
        <v>82.640249999999995</v>
      </c>
      <c r="H16" s="138">
        <f t="shared" si="0"/>
        <v>6.7374999999999972</v>
      </c>
      <c r="I16"/>
      <c r="J16" s="137" t="s">
        <v>191</v>
      </c>
      <c r="K16" s="139">
        <v>75.902749999999997</v>
      </c>
      <c r="L16" s="139">
        <v>82.640249999999995</v>
      </c>
      <c r="M16" s="206">
        <v>6.7374999999999972</v>
      </c>
      <c r="Q16" s="1"/>
    </row>
    <row r="17" spans="1:17" s="60" customFormat="1">
      <c r="A17" s="58"/>
      <c r="B17" s="5"/>
      <c r="C17" s="59"/>
      <c r="D17" s="61"/>
      <c r="E17" s="137" t="str">
        <f>'Sensitivity Setup'!$E$76</f>
        <v>Number of staff per supervisor/manager +/- 30%</v>
      </c>
      <c r="F17" s="139">
        <f t="array" ref="F17">IF(INDEX('Sensitivity Setup'!$D$7:$O$171,MATCH('Tornado Setup'!$E17&amp;"Low",'Sensitivity Setup'!$E$7:$E$171&amp;'Sensitivity Setup'!$F$7:$F$171,0),MATCH(DSA_tornado_select,'Sensitivity Setup'!$D$7:$O$7,0))=FALSE,tornado_center,
INDEX('Sensitivity Setup'!$D$7:$O$171,MATCH('Tornado Setup'!$E17&amp;"Low",'Sensitivity Setup'!$E$7:$E$171&amp;'Sensitivity Setup'!$F$7:$F$171,0),MATCH(DSA_tornado_select,'Sensitivity Setup'!$D$7:$O$7,0)))</f>
        <v>82.36</v>
      </c>
      <c r="G17" s="139">
        <f t="array" ref="G17">IF(INDEX('Sensitivity Setup'!$D$7:$O$171,MATCH('Tornado Setup'!$E17&amp;"High",'Sensitivity Setup'!$E$7:$E$171&amp;'Sensitivity Setup'!$F$7:$F$171,0),MATCH(DSA_tornado_select,'Sensitivity Setup'!$D$7:$O$7,0))=FALSE,tornado_center,
INDEX('Sensitivity Setup'!$D$7:$O$171,MATCH('Tornado Setup'!$E17&amp;"High",'Sensitivity Setup'!$E$7:$E$171&amp;'Sensitivity Setup'!$F$7:$F$171,0),MATCH(DSA_tornado_select,'Sensitivity Setup'!$D$7:$O$7,0)))</f>
        <v>77.60846153846154</v>
      </c>
      <c r="H17" s="138">
        <f t="shared" si="0"/>
        <v>4.751538461538459</v>
      </c>
      <c r="I17"/>
      <c r="J17" s="137" t="s">
        <v>193</v>
      </c>
      <c r="K17" s="139">
        <v>75.902749999999997</v>
      </c>
      <c r="L17" s="139">
        <v>82.640249999999995</v>
      </c>
      <c r="M17" s="206">
        <v>6.7374999999999972</v>
      </c>
      <c r="Q17" s="1"/>
    </row>
    <row r="18" spans="1:17" s="60" customFormat="1">
      <c r="A18" s="58"/>
      <c r="B18" s="5"/>
      <c r="C18" s="59"/>
      <c r="D18" s="61"/>
      <c r="E18" s="137" t="str">
        <f>'Sensitivity Setup'!$E$52</f>
        <v>Number of follow-up text messages +/- 30%</v>
      </c>
      <c r="F18" s="139">
        <f t="array" ref="F18">IF(INDEX('Sensitivity Setup'!$D$7:$O$171,MATCH('Tornado Setup'!$E18&amp;"Low",'Sensitivity Setup'!$E$7:$E$171&amp;'Sensitivity Setup'!$F$7:$F$171,0),MATCH(DSA_tornado_select,'Sensitivity Setup'!$D$7:$O$7,0))=FALSE,tornado_center,
INDEX('Sensitivity Setup'!$D$7:$O$171,MATCH('Tornado Setup'!$E18&amp;"Low",'Sensitivity Setup'!$E$7:$E$171&amp;'Sensitivity Setup'!$F$7:$F$171,0),MATCH(DSA_tornado_select,'Sensitivity Setup'!$D$7:$O$7,0)))</f>
        <v>79.103062500000007</v>
      </c>
      <c r="G18" s="139">
        <f t="array" ref="G18">IF(INDEX('Sensitivity Setup'!$D$7:$O$171,MATCH('Tornado Setup'!$E18&amp;"High",'Sensitivity Setup'!$E$7:$E$171&amp;'Sensitivity Setup'!$F$7:$F$171,0),MATCH(DSA_tornado_select,'Sensitivity Setup'!$D$7:$O$7,0))=FALSE,tornado_center,
INDEX('Sensitivity Setup'!$D$7:$O$171,MATCH('Tornado Setup'!$E18&amp;"High",'Sensitivity Setup'!$E$7:$E$171&amp;'Sensitivity Setup'!$F$7:$F$171,0),MATCH(DSA_tornado_select,'Sensitivity Setup'!$D$7:$O$7,0)))</f>
        <v>79.439937499999999</v>
      </c>
      <c r="H18" s="138">
        <f t="shared" si="0"/>
        <v>0.33687499999999204</v>
      </c>
      <c r="I18"/>
      <c r="J18" s="137" t="s">
        <v>226</v>
      </c>
      <c r="K18" s="139">
        <v>76.57650000000001</v>
      </c>
      <c r="L18" s="139">
        <v>81.966499999999996</v>
      </c>
      <c r="M18" s="206">
        <v>5.3899999999999864</v>
      </c>
      <c r="Q18" s="1"/>
    </row>
    <row r="19" spans="1:17" s="60" customFormat="1">
      <c r="A19" s="58"/>
      <c r="B19" s="5"/>
      <c r="C19" s="59"/>
      <c r="D19" s="61"/>
      <c r="E19" s="137" t="str">
        <f>'Sensitivity Setup'!$E$40</f>
        <v>Minutes spent on each contact not reached +/- 30%</v>
      </c>
      <c r="F19" s="139">
        <f t="array" ref="F19">IF(INDEX('Sensitivity Setup'!$D$7:$O$171,MATCH('Tornado Setup'!$E19&amp;"Low",'Sensitivity Setup'!$E$7:$E$171&amp;'Sensitivity Setup'!$F$7:$F$171,0),MATCH(DSA_tornado_select,'Sensitivity Setup'!$D$7:$O$7,0))=FALSE,tornado_center,
INDEX('Sensitivity Setup'!$D$7:$O$171,MATCH('Tornado Setup'!$E19&amp;"Low",'Sensitivity Setup'!$E$7:$E$171&amp;'Sensitivity Setup'!$F$7:$F$171,0),MATCH(DSA_tornado_select,'Sensitivity Setup'!$D$7:$O$7,0)))</f>
        <v>75.902749999999997</v>
      </c>
      <c r="G19" s="139">
        <f t="array" ref="G19">IF(INDEX('Sensitivity Setup'!$D$7:$O$171,MATCH('Tornado Setup'!$E19&amp;"High",'Sensitivity Setup'!$E$7:$E$171&amp;'Sensitivity Setup'!$F$7:$F$171,0),MATCH(DSA_tornado_select,'Sensitivity Setup'!$D$7:$O$7,0))=FALSE,tornado_center,
INDEX('Sensitivity Setup'!$D$7:$O$171,MATCH('Tornado Setup'!$E19&amp;"High",'Sensitivity Setup'!$E$7:$E$171&amp;'Sensitivity Setup'!$F$7:$F$171,0),MATCH(DSA_tornado_select,'Sensitivity Setup'!$D$7:$O$7,0)))</f>
        <v>82.640249999999995</v>
      </c>
      <c r="H19" s="138">
        <f t="shared" si="0"/>
        <v>6.7374999999999972</v>
      </c>
      <c r="I19"/>
      <c r="J19" s="137" t="s">
        <v>189</v>
      </c>
      <c r="K19" s="139">
        <v>82.36</v>
      </c>
      <c r="L19" s="139">
        <v>77.60846153846154</v>
      </c>
      <c r="M19" s="206">
        <v>4.751538461538459</v>
      </c>
      <c r="Q19" s="1"/>
    </row>
    <row r="20" spans="1:17" s="60" customFormat="1">
      <c r="A20" s="58"/>
      <c r="B20" s="5"/>
      <c r="C20" s="59"/>
      <c r="D20" s="61"/>
      <c r="E20" s="137" t="str">
        <f>'Sensitivity Setup'!$E$68</f>
        <v>Number of cases per resource coordinator per day  +/- 30%</v>
      </c>
      <c r="F20" s="139">
        <f t="array" ref="F20">IF(INDEX('Sensitivity Setup'!$D$7:$O$171,MATCH('Tornado Setup'!$E20&amp;"Low",'Sensitivity Setup'!$E$7:$E$171&amp;'Sensitivity Setup'!$F$7:$F$171,0),MATCH(DSA_tornado_select,'Sensitivity Setup'!$D$7:$O$7,0))=FALSE,tornado_center,
INDEX('Sensitivity Setup'!$D$7:$O$171,MATCH('Tornado Setup'!$E20&amp;"Low",'Sensitivity Setup'!$E$7:$E$171&amp;'Sensitivity Setup'!$F$7:$F$171,0),MATCH(DSA_tornado_select,'Sensitivity Setup'!$D$7:$O$7,0)))</f>
        <v>84.507500000000007</v>
      </c>
      <c r="G20" s="139">
        <f t="array" ref="G20">IF(INDEX('Sensitivity Setup'!$D$7:$O$171,MATCH('Tornado Setup'!$E20&amp;"High",'Sensitivity Setup'!$E$7:$E$171&amp;'Sensitivity Setup'!$F$7:$F$171,0),MATCH(DSA_tornado_select,'Sensitivity Setup'!$D$7:$O$7,0))=FALSE,tornado_center,
INDEX('Sensitivity Setup'!$D$7:$O$171,MATCH('Tornado Setup'!$E20&amp;"High",'Sensitivity Setup'!$E$7:$E$171&amp;'Sensitivity Setup'!$F$7:$F$171,0),MATCH(DSA_tornado_select,'Sensitivity Setup'!$D$7:$O$7,0)))</f>
        <v>76.452115384615382</v>
      </c>
      <c r="H20" s="138">
        <f t="shared" si="0"/>
        <v>8.0553846153846251</v>
      </c>
      <c r="I20"/>
      <c r="J20" s="137" t="s">
        <v>192</v>
      </c>
      <c r="K20" s="139">
        <v>78.301300000000012</v>
      </c>
      <c r="L20" s="139">
        <v>80.241700000000009</v>
      </c>
      <c r="M20" s="206">
        <v>1.9403999999999968</v>
      </c>
      <c r="Q20" s="1"/>
    </row>
    <row r="21" spans="1:17" s="60" customFormat="1">
      <c r="A21" s="58"/>
      <c r="B21" s="5"/>
      <c r="C21" s="59"/>
      <c r="D21" s="61"/>
      <c r="E21" s="137" t="str">
        <f>'Sensitivity Setup'!$E$60</f>
        <v>Proportion of cases requesting coodinators +/- 30%</v>
      </c>
      <c r="F21" s="139">
        <f t="array" ref="F21">IF(INDEX('Sensitivity Setup'!$D$7:$O$171,MATCH('Tornado Setup'!$E21&amp;"Low",'Sensitivity Setup'!$E$7:$E$171&amp;'Sensitivity Setup'!$F$7:$F$171,0),MATCH(DSA_tornado_select,'Sensitivity Setup'!$D$7:$O$7,0))=FALSE,tornado_center,
INDEX('Sensitivity Setup'!$D$7:$O$171,MATCH('Tornado Setup'!$E21&amp;"Low",'Sensitivity Setup'!$E$7:$E$171&amp;'Sensitivity Setup'!$F$7:$F$171,0),MATCH(DSA_tornado_select,'Sensitivity Setup'!$D$7:$O$7,0)))</f>
        <v>78.301300000000012</v>
      </c>
      <c r="G21" s="139">
        <f t="array" ref="G21">IF(INDEX('Sensitivity Setup'!$D$7:$O$171,MATCH('Tornado Setup'!$E21&amp;"High",'Sensitivity Setup'!$E$7:$E$171&amp;'Sensitivity Setup'!$F$7:$F$171,0),MATCH(DSA_tornado_select,'Sensitivity Setup'!$D$7:$O$7,0))=FALSE,tornado_center,
INDEX('Sensitivity Setup'!$D$7:$O$171,MATCH('Tornado Setup'!$E21&amp;"High",'Sensitivity Setup'!$E$7:$E$171&amp;'Sensitivity Setup'!$F$7:$F$171,0),MATCH(DSA_tornado_select,'Sensitivity Setup'!$D$7:$O$7,0)))</f>
        <v>80.241700000000009</v>
      </c>
      <c r="H21" s="138">
        <f t="shared" si="0"/>
        <v>1.9403999999999968</v>
      </c>
      <c r="I21"/>
      <c r="J21" s="137" t="s">
        <v>183</v>
      </c>
      <c r="K21" s="139">
        <v>78.694000000000003</v>
      </c>
      <c r="L21" s="139">
        <v>79.849000000000004</v>
      </c>
      <c r="M21" s="206">
        <v>1.1550000000000011</v>
      </c>
      <c r="Q21" s="1"/>
    </row>
    <row r="22" spans="1:17" s="60" customFormat="1">
      <c r="A22" s="58"/>
      <c r="B22" s="5"/>
      <c r="C22" s="59"/>
      <c r="D22" s="61"/>
      <c r="E22" s="137" t="e">
        <f>'Sensitivity Setup'!#REF!</f>
        <v>#REF!</v>
      </c>
      <c r="F22" s="139" t="e">
        <f t="array" ref="F22">IF(INDEX('Sensitivity Setup'!$D$7:$O$171,MATCH('Tornado Setup'!$E22&amp;"Low",'Sensitivity Setup'!$E$7:$E$171&amp;'Sensitivity Setup'!$F$7:$F$171,0),MATCH(DSA_tornado_select,'Sensitivity Setup'!$D$7:$O$7,0))=FALSE,tornado_center,
INDEX('Sensitivity Setup'!$D$7:$O$171,MATCH('Tornado Setup'!$E22&amp;"Low",'Sensitivity Setup'!$E$7:$E$171&amp;'Sensitivity Setup'!$F$7:$F$171,0),MATCH(DSA_tornado_select,'Sensitivity Setup'!$D$7:$O$7,0)))</f>
        <v>#REF!</v>
      </c>
      <c r="G22" s="139" t="e">
        <f t="array" ref="G22">IF(INDEX('Sensitivity Setup'!$D$7:$O$171,MATCH('Tornado Setup'!$E22&amp;"High",'Sensitivity Setup'!$E$7:$E$171&amp;'Sensitivity Setup'!$F$7:$F$171,0),MATCH(DSA_tornado_select,'Sensitivity Setup'!$D$7:$O$7,0))=FALSE,tornado_center,
INDEX('Sensitivity Setup'!$D$7:$O$171,MATCH('Tornado Setup'!$E22&amp;"High",'Sensitivity Setup'!$E$7:$E$171&amp;'Sensitivity Setup'!$F$7:$F$171,0),MATCH(DSA_tornado_select,'Sensitivity Setup'!$D$7:$O$7,0)))</f>
        <v>#REF!</v>
      </c>
      <c r="H22" s="138">
        <f t="shared" si="0"/>
        <v>0</v>
      </c>
      <c r="I22"/>
      <c r="J22" s="137" t="s">
        <v>184</v>
      </c>
      <c r="K22" s="139">
        <v>79.103062500000007</v>
      </c>
      <c r="L22" s="139">
        <v>79.439937499999999</v>
      </c>
      <c r="M22" s="206">
        <v>0.33687499999999204</v>
      </c>
      <c r="Q22" s="1"/>
    </row>
    <row r="23" spans="1:17" s="60" customFormat="1">
      <c r="A23" s="58"/>
      <c r="B23" s="5"/>
      <c r="C23" s="59"/>
      <c r="D23" s="61"/>
      <c r="E23" s="137" t="str">
        <f>'Sensitivity Setup'!$E$64</f>
        <v>Proportion of contacts requesting coordinators +/- 30%</v>
      </c>
      <c r="F23" s="139">
        <f t="array" ref="F23">IF(INDEX('Sensitivity Setup'!$D$7:$O$171,MATCH('Tornado Setup'!$E23&amp;"Low",'Sensitivity Setup'!$E$7:$E$171&amp;'Sensitivity Setup'!$F$7:$F$171,0),MATCH(DSA_tornado_select,'Sensitivity Setup'!$D$7:$O$7,0))=FALSE,tornado_center,
INDEX('Sensitivity Setup'!$D$7:$O$171,MATCH('Tornado Setup'!$E23&amp;"Low",'Sensitivity Setup'!$E$7:$E$171&amp;'Sensitivity Setup'!$F$7:$F$171,0),MATCH(DSA_tornado_select,'Sensitivity Setup'!$D$7:$O$7,0)))</f>
        <v>76.57650000000001</v>
      </c>
      <c r="G23" s="139">
        <f t="array" ref="G23">IF(INDEX('Sensitivity Setup'!$D$7:$O$171,MATCH('Tornado Setup'!$E23&amp;"High",'Sensitivity Setup'!$E$7:$E$171&amp;'Sensitivity Setup'!$F$7:$F$171,0),MATCH(DSA_tornado_select,'Sensitivity Setup'!$D$7:$O$7,0))=FALSE,tornado_center,
INDEX('Sensitivity Setup'!$D$7:$O$171,MATCH('Tornado Setup'!$E23&amp;"High",'Sensitivity Setup'!$E$7:$E$171&amp;'Sensitivity Setup'!$F$7:$F$171,0),MATCH(DSA_tornado_select,'Sensitivity Setup'!$D$7:$O$7,0)))</f>
        <v>81.966499999999996</v>
      </c>
      <c r="H23" s="138">
        <f t="shared" si="0"/>
        <v>5.3899999999999864</v>
      </c>
      <c r="I23"/>
      <c r="J23" s="137" t="s">
        <v>190</v>
      </c>
      <c r="K23" s="139">
        <v>79.103062500000007</v>
      </c>
      <c r="L23" s="139">
        <v>79.439937499999999</v>
      </c>
      <c r="M23" s="206">
        <v>0.33687499999999204</v>
      </c>
      <c r="Q23" s="1"/>
    </row>
    <row r="24" spans="1:17" s="60" customFormat="1">
      <c r="A24" s="58"/>
      <c r="B24" s="5"/>
      <c r="C24" s="59"/>
      <c r="D24" s="61"/>
      <c r="E24" s="137" t="str">
        <f>'Sensitivity Setup'!$E$48</f>
        <v>Minutes spent on each follow-up call +/- 30%</v>
      </c>
      <c r="F24" s="139">
        <f t="array" ref="F24">IF(INDEX('Sensitivity Setup'!$D$7:$O$171,MATCH('Tornado Setup'!$E24&amp;"Low",'Sensitivity Setup'!$E$7:$E$171&amp;'Sensitivity Setup'!$F$7:$F$171,0),MATCH(DSA_tornado_select,'Sensitivity Setup'!$D$7:$O$7,0))=FALSE,tornado_center,
INDEX('Sensitivity Setup'!$D$7:$O$171,MATCH('Tornado Setup'!$E24&amp;"Low",'Sensitivity Setup'!$E$7:$E$171&amp;'Sensitivity Setup'!$F$7:$F$171,0),MATCH(DSA_tornado_select,'Sensitivity Setup'!$D$7:$O$7,0)))</f>
        <v>75.902749999999997</v>
      </c>
      <c r="G24" s="139">
        <f t="array" ref="G24">IF(INDEX('Sensitivity Setup'!$D$7:$O$171,MATCH('Tornado Setup'!$E24&amp;"High",'Sensitivity Setup'!$E$7:$E$171&amp;'Sensitivity Setup'!$F$7:$F$171,0),MATCH(DSA_tornado_select,'Sensitivity Setup'!$D$7:$O$7,0))=FALSE,tornado_center,
INDEX('Sensitivity Setup'!$D$7:$O$171,MATCH('Tornado Setup'!$E24&amp;"High",'Sensitivity Setup'!$E$7:$E$171&amp;'Sensitivity Setup'!$F$7:$F$171,0),MATCH(DSA_tornado_select,'Sensitivity Setup'!$D$7:$O$7,0)))</f>
        <v>82.640249999999995</v>
      </c>
      <c r="H24" s="138">
        <f t="shared" si="0"/>
        <v>6.7374999999999972</v>
      </c>
      <c r="I24"/>
      <c r="J24" s="137" t="e">
        <v>#REF!</v>
      </c>
      <c r="K24" s="139" t="e">
        <v>#REF!</v>
      </c>
      <c r="L24" s="139" t="e">
        <v>#REF!</v>
      </c>
      <c r="M24" s="206">
        <v>0</v>
      </c>
      <c r="Q24" s="1"/>
    </row>
    <row r="25" spans="1:17" s="60" customFormat="1">
      <c r="A25" s="58"/>
      <c r="B25" s="5"/>
      <c r="C25" s="59"/>
      <c r="D25" s="61"/>
      <c r="E25" s="137" t="str">
        <f>'Sensitivity Setup'!$E$80</f>
        <v>Hourly rate - case investigator +/- 30%</v>
      </c>
      <c r="F25" s="139">
        <f t="array" ref="F25">IF(INDEX('Sensitivity Setup'!$D$7:$O$171,MATCH('Tornado Setup'!$E25&amp;"Low",'Sensitivity Setup'!$E$7:$E$171&amp;'Sensitivity Setup'!$F$7:$F$171,0),MATCH(DSA_tornado_select,'Sensitivity Setup'!$D$7:$O$7,0))=FALSE,tornado_center,
INDEX('Sensitivity Setup'!$D$7:$O$171,MATCH('Tornado Setup'!$E25&amp;"Low",'Sensitivity Setup'!$E$7:$E$171&amp;'Sensitivity Setup'!$F$7:$F$171,0),MATCH(DSA_tornado_select,'Sensitivity Setup'!$D$7:$O$7,0)))</f>
        <v>79.271500000000003</v>
      </c>
      <c r="G25" s="139">
        <f t="array" ref="G25">IF(INDEX('Sensitivity Setup'!$D$7:$O$171,MATCH('Tornado Setup'!$E25&amp;"High",'Sensitivity Setup'!$E$7:$E$171&amp;'Sensitivity Setup'!$F$7:$F$171,0),MATCH(DSA_tornado_select,'Sensitivity Setup'!$D$7:$O$7,0))=FALSE,tornado_center,
INDEX('Sensitivity Setup'!$D$7:$O$171,MATCH('Tornado Setup'!$E25&amp;"High",'Sensitivity Setup'!$E$7:$E$171&amp;'Sensitivity Setup'!$F$7:$F$171,0),MATCH(DSA_tornado_select,'Sensitivity Setup'!$D$7:$O$7,0)))</f>
        <v>79.271500000000003</v>
      </c>
      <c r="H25" s="138">
        <f t="shared" si="0"/>
        <v>0</v>
      </c>
      <c r="I25"/>
      <c r="J25" s="137" t="s">
        <v>194</v>
      </c>
      <c r="K25" s="139">
        <v>79.271500000000003</v>
      </c>
      <c r="L25" s="139">
        <v>79.271500000000003</v>
      </c>
      <c r="M25" s="206">
        <v>0</v>
      </c>
      <c r="Q25" s="1"/>
    </row>
    <row r="26" spans="1:17" s="60" customFormat="1">
      <c r="A26" s="58"/>
      <c r="B26" s="5"/>
      <c r="C26" s="59"/>
      <c r="D26" s="61"/>
      <c r="E26" s="137" t="str">
        <f>'Sensitivity Setup'!$E$84</f>
        <v>Hourly rate - contact tracer +/- 30%</v>
      </c>
      <c r="F26" s="139">
        <f t="array" ref="F26">IF(INDEX('Sensitivity Setup'!$D$7:$O$171,MATCH('Tornado Setup'!$E26&amp;"Low",'Sensitivity Setup'!$E$7:$E$171&amp;'Sensitivity Setup'!$F$7:$F$171,0),MATCH(DSA_tornado_select,'Sensitivity Setup'!$D$7:$O$7,0))=FALSE,tornado_center,
INDEX('Sensitivity Setup'!$D$7:$O$171,MATCH('Tornado Setup'!$E26&amp;"Low",'Sensitivity Setup'!$E$7:$E$171&amp;'Sensitivity Setup'!$F$7:$F$171,0),MATCH(DSA_tornado_select,'Sensitivity Setup'!$D$7:$O$7,0)))</f>
        <v>79.271500000000003</v>
      </c>
      <c r="G26" s="139">
        <f t="array" ref="G26">IF(INDEX('Sensitivity Setup'!$D$7:$O$171,MATCH('Tornado Setup'!$E26&amp;"High",'Sensitivity Setup'!$E$7:$E$171&amp;'Sensitivity Setup'!$F$7:$F$171,0),MATCH(DSA_tornado_select,'Sensitivity Setup'!$D$7:$O$7,0))=FALSE,tornado_center,
INDEX('Sensitivity Setup'!$D$7:$O$171,MATCH('Tornado Setup'!$E26&amp;"High",'Sensitivity Setup'!$E$7:$E$171&amp;'Sensitivity Setup'!$F$7:$F$171,0),MATCH(DSA_tornado_select,'Sensitivity Setup'!$D$7:$O$7,0)))</f>
        <v>79.271500000000003</v>
      </c>
      <c r="H26" s="138">
        <f t="shared" si="0"/>
        <v>0</v>
      </c>
      <c r="I26"/>
      <c r="J26" s="77" t="s">
        <v>195</v>
      </c>
      <c r="K26" s="139">
        <v>79.271500000000003</v>
      </c>
      <c r="L26" s="139">
        <v>79.271500000000003</v>
      </c>
      <c r="M26" s="206">
        <v>0</v>
      </c>
      <c r="Q26" s="1"/>
    </row>
    <row r="27" spans="1:17" s="60" customFormat="1">
      <c r="A27" s="58"/>
      <c r="B27" s="5"/>
      <c r="C27" s="59"/>
      <c r="D27" s="61"/>
      <c r="E27" s="137" t="str">
        <f>'Sensitivity Setup'!$E$88</f>
        <v>Hourly rate - resource coordinator +/- 30%</v>
      </c>
      <c r="F27" s="139">
        <f t="array" ref="F27">IF(INDEX('Sensitivity Setup'!$D$7:$O$171,MATCH('Tornado Setup'!$E27&amp;"Low",'Sensitivity Setup'!$E$7:$E$171&amp;'Sensitivity Setup'!$F$7:$F$171,0),MATCH(DSA_tornado_select,'Sensitivity Setup'!$D$7:$O$7,0))=FALSE,tornado_center,
INDEX('Sensitivity Setup'!$D$7:$O$171,MATCH('Tornado Setup'!$E27&amp;"Low",'Sensitivity Setup'!$E$7:$E$171&amp;'Sensitivity Setup'!$F$7:$F$171,0),MATCH(DSA_tornado_select,'Sensitivity Setup'!$D$7:$O$7,0)))</f>
        <v>79.271500000000003</v>
      </c>
      <c r="G27" s="139">
        <f t="array" ref="G27">IF(INDEX('Sensitivity Setup'!$D$7:$O$171,MATCH('Tornado Setup'!$E27&amp;"High",'Sensitivity Setup'!$E$7:$E$171&amp;'Sensitivity Setup'!$F$7:$F$171,0),MATCH(DSA_tornado_select,'Sensitivity Setup'!$D$7:$O$7,0))=FALSE,tornado_center,
INDEX('Sensitivity Setup'!$D$7:$O$171,MATCH('Tornado Setup'!$E27&amp;"High",'Sensitivity Setup'!$E$7:$E$171&amp;'Sensitivity Setup'!$F$7:$F$171,0),MATCH(DSA_tornado_select,'Sensitivity Setup'!$D$7:$O$7,0)))</f>
        <v>79.271500000000003</v>
      </c>
      <c r="H27" s="138">
        <f t="shared" si="0"/>
        <v>0</v>
      </c>
      <c r="I27"/>
      <c r="J27" s="137" t="s">
        <v>196</v>
      </c>
      <c r="K27" s="139">
        <v>79.271500000000003</v>
      </c>
      <c r="L27" s="139">
        <v>79.271500000000003</v>
      </c>
      <c r="M27" s="206">
        <v>0</v>
      </c>
      <c r="Q27" s="1"/>
    </row>
    <row r="28" spans="1:17" s="60" customFormat="1">
      <c r="A28" s="58"/>
      <c r="B28" s="5"/>
      <c r="C28" s="59"/>
      <c r="D28" s="61"/>
      <c r="E28" s="137" t="str">
        <f>'Sensitivity Setup'!$E$92</f>
        <v>Hourly rate - supervisors/managers +/- 30%</v>
      </c>
      <c r="F28" s="139">
        <f t="array" ref="F28">IF(INDEX('Sensitivity Setup'!$D$7:$O$171,MATCH('Tornado Setup'!$E28&amp;"Low",'Sensitivity Setup'!$E$7:$E$171&amp;'Sensitivity Setup'!$F$7:$F$171,0),MATCH(DSA_tornado_select,'Sensitivity Setup'!$D$7:$O$7,0))=FALSE,tornado_center,
INDEX('Sensitivity Setup'!$D$7:$O$171,MATCH('Tornado Setup'!$E28&amp;"Low",'Sensitivity Setup'!$E$7:$E$171&amp;'Sensitivity Setup'!$F$7:$F$171,0),MATCH(DSA_tornado_select,'Sensitivity Setup'!$D$7:$O$7,0)))</f>
        <v>79.271500000000003</v>
      </c>
      <c r="G28" s="139">
        <f t="array" ref="G28">IF(INDEX('Sensitivity Setup'!$D$7:$O$171,MATCH('Tornado Setup'!$E28&amp;"High",'Sensitivity Setup'!$E$7:$E$171&amp;'Sensitivity Setup'!$F$7:$F$171,0),MATCH(DSA_tornado_select,'Sensitivity Setup'!$D$7:$O$7,0))=FALSE,tornado_center,
INDEX('Sensitivity Setup'!$D$7:$O$171,MATCH('Tornado Setup'!$E28&amp;"High",'Sensitivity Setup'!$E$7:$E$171&amp;'Sensitivity Setup'!$F$7:$F$171,0),MATCH(DSA_tornado_select,'Sensitivity Setup'!$D$7:$O$7,0)))</f>
        <v>79.271500000000003</v>
      </c>
      <c r="H28" s="138">
        <f t="shared" si="0"/>
        <v>0</v>
      </c>
      <c r="I28"/>
      <c r="J28" s="137" t="s">
        <v>197</v>
      </c>
      <c r="K28" s="139">
        <v>79.271500000000003</v>
      </c>
      <c r="L28" s="139">
        <v>79.271500000000003</v>
      </c>
      <c r="M28" s="206">
        <v>0</v>
      </c>
      <c r="Q28" s="1"/>
    </row>
    <row r="29" spans="1:17" s="60" customFormat="1">
      <c r="A29" s="58"/>
      <c r="B29" s="5"/>
      <c r="C29" s="59"/>
      <c r="D29" s="61"/>
      <c r="E29" s="63"/>
      <c r="F29" s="63"/>
      <c r="G29" s="63"/>
      <c r="H29" s="63"/>
      <c r="I29" s="63"/>
      <c r="J29" s="63"/>
      <c r="K29" s="63"/>
      <c r="L29" s="63"/>
      <c r="M29" s="63"/>
      <c r="Q29" s="1"/>
    </row>
    <row r="30" spans="1:17" s="60" customFormat="1">
      <c r="A30" s="58"/>
      <c r="B30" s="5"/>
      <c r="C30" s="59"/>
      <c r="D30" s="61"/>
      <c r="E30" s="63"/>
      <c r="F30" s="63"/>
      <c r="G30" s="63"/>
      <c r="H30" s="63"/>
      <c r="I30" s="63"/>
      <c r="J30" s="63"/>
      <c r="K30" s="63"/>
      <c r="L30" s="63"/>
      <c r="M30" s="63"/>
      <c r="Q30" s="1"/>
    </row>
    <row r="31" spans="1:17" s="60" customFormat="1">
      <c r="A31" s="58"/>
      <c r="B31" s="5"/>
      <c r="C31" s="59"/>
      <c r="D31" s="61"/>
      <c r="E31" s="359" t="s">
        <v>159</v>
      </c>
      <c r="F31" s="360"/>
      <c r="G31" s="361"/>
      <c r="H31" s="141">
        <f>MIN(tornado_nparam,COUNTIF(H7:H28,"&gt;0"))</f>
        <v>15</v>
      </c>
      <c r="I31" s="203"/>
      <c r="J31" s="203"/>
      <c r="K31" s="203"/>
      <c r="L31" s="203"/>
      <c r="M31" s="203"/>
      <c r="Q31" s="1"/>
    </row>
    <row r="32" spans="1:17" s="60" customFormat="1">
      <c r="A32" s="58"/>
      <c r="B32" s="5"/>
      <c r="C32" s="59"/>
      <c r="D32" s="61"/>
      <c r="E32" s="359" t="s">
        <v>82</v>
      </c>
      <c r="F32" s="360"/>
      <c r="G32" s="361"/>
      <c r="H32" s="140">
        <f t="array" ref="H32">IFERROR(INDEX('Sensitivity Setup'!$D$7:$O$171,MATCH('Tornado Setup'!$E32 &amp; "Low",'Sensitivity Setup'!$E$7:$E$171 &amp; 'Sensitivity Setup'!$F$7:$F$171,0),MATCH(DSA_tornado_select,'Sensitivity Setup'!$D$7:$O$7,0)),"n/a")</f>
        <v>79.271500000000003</v>
      </c>
      <c r="I32" s="204"/>
      <c r="J32" s="204"/>
      <c r="K32" s="204"/>
      <c r="L32" s="204"/>
      <c r="M32" s="204"/>
      <c r="Q32" s="1"/>
    </row>
    <row r="33" spans="1:17" s="60" customFormat="1">
      <c r="A33" s="58"/>
      <c r="B33" s="5"/>
      <c r="C33" s="59"/>
      <c r="D33" s="61"/>
      <c r="E33" s="63"/>
      <c r="F33" s="63"/>
      <c r="G33" s="63"/>
      <c r="H33" s="63"/>
      <c r="I33" s="63"/>
      <c r="J33" s="63"/>
      <c r="K33" s="63"/>
      <c r="L33" s="63"/>
      <c r="M33" s="63"/>
      <c r="Q33" s="1"/>
    </row>
    <row r="34" spans="1:17">
      <c r="B34" s="5"/>
      <c r="Q34" s="1"/>
    </row>
    <row r="35" spans="1:17" s="83" customFormat="1" ht="18" collapsed="1">
      <c r="B35" s="308"/>
      <c r="C35" s="308"/>
      <c r="D35" s="308"/>
      <c r="E35" s="308"/>
      <c r="F35" s="308"/>
      <c r="G35" s="308"/>
      <c r="H35" s="308"/>
      <c r="I35" s="308"/>
      <c r="J35" s="308"/>
      <c r="K35" s="308"/>
      <c r="L35" s="308"/>
      <c r="M35" s="308"/>
      <c r="N35" s="308"/>
      <c r="O35" s="308"/>
      <c r="P35" s="308"/>
      <c r="Q35" s="1"/>
    </row>
  </sheetData>
  <sortState ref="J7:M28">
    <sortCondition descending="1" ref="M7:M28"/>
  </sortState>
  <mergeCells count="7">
    <mergeCell ref="B35:P35"/>
    <mergeCell ref="E31:G31"/>
    <mergeCell ref="E32:G32"/>
    <mergeCell ref="C2:H2"/>
    <mergeCell ref="C3:P3"/>
    <mergeCell ref="E5:H5"/>
    <mergeCell ref="J5:M5"/>
  </mergeCells>
  <conditionalFormatting sqref="F7:G28">
    <cfRule type="expression" dxfId="2" priority="12">
      <formula>#REF!=worker_select_name</formula>
    </cfRule>
  </conditionalFormatting>
  <conditionalFormatting sqref="H32:M32">
    <cfRule type="expression" dxfId="1" priority="3">
      <formula>#REF!=worker_select_name</formula>
    </cfRule>
  </conditionalFormatting>
  <conditionalFormatting sqref="K7:L28">
    <cfRule type="expression" dxfId="0" priority="1">
      <formula>#REF!=worker_select_name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F99B433BE5D3D4FBA482D1904FBCC39" ma:contentTypeVersion="9" ma:contentTypeDescription="Create a new document." ma:contentTypeScope="" ma:versionID="17aba86b2182a71f149a8c5f08476075">
  <xsd:schema xmlns:xsd="http://www.w3.org/2001/XMLSchema" xmlns:xs="http://www.w3.org/2001/XMLSchema" xmlns:p="http://schemas.microsoft.com/office/2006/metadata/properties" xmlns:ns2="6ad47a0b-4762-4c68-b512-52d8d1656467" xmlns:ns3="09f522aa-5702-42a1-bbee-4fbba4458466" targetNamespace="http://schemas.microsoft.com/office/2006/metadata/properties" ma:root="true" ma:fieldsID="5ba8a354fde20ef0c9fbd6e8f8fb8cbb" ns2:_="" ns3:_="">
    <xsd:import namespace="6ad47a0b-4762-4c68-b512-52d8d1656467"/>
    <xsd:import namespace="09f522aa-5702-42a1-bbee-4fbba445846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EventHashCode" minOccurs="0"/>
                <xsd:element ref="ns3:MediaServiceGenerationTime" minOccurs="0"/>
                <xsd:element ref="ns3:MediaServiceDateTaken"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d47a0b-4762-4c68-b512-52d8d165646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9f522aa-5702-42a1-bbee-4fbba4458466"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3F76EA-E06B-4D79-BD5B-1E119F42EA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d47a0b-4762-4c68-b512-52d8d1656467"/>
    <ds:schemaRef ds:uri="09f522aa-5702-42a1-bbee-4fbba44584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6C1C04-5C6A-40F6-BD3E-165A313298A7}">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http://www.w3.org/XML/1998/namespace"/>
    <ds:schemaRef ds:uri="http://purl.org/dc/dcmitype/"/>
    <ds:schemaRef ds:uri="09f522aa-5702-42a1-bbee-4fbba4458466"/>
    <ds:schemaRef ds:uri="http://schemas.openxmlformats.org/package/2006/metadata/core-properties"/>
    <ds:schemaRef ds:uri="6ad47a0b-4762-4c68-b512-52d8d1656467"/>
    <ds:schemaRef ds:uri="http://purl.org/dc/elements/1.1/"/>
  </ds:schemaRefs>
</ds:datastoreItem>
</file>

<file path=customXml/itemProps3.xml><?xml version="1.0" encoding="utf-8"?>
<ds:datastoreItem xmlns:ds="http://schemas.openxmlformats.org/officeDocument/2006/customXml" ds:itemID="{4590143B-CB54-4FAE-A81C-607B3CEC8CC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92</vt:i4>
      </vt:variant>
    </vt:vector>
  </HeadingPairs>
  <TitlesOfParts>
    <vt:vector size="101" baseType="lpstr">
      <vt:lpstr>Welcome</vt:lpstr>
      <vt:lpstr>Model Introduction</vt:lpstr>
      <vt:lpstr>Use Case Guidelines</vt:lpstr>
      <vt:lpstr>Results and Inputs - Staff </vt:lpstr>
      <vt:lpstr>Results and Inputs - Cases</vt:lpstr>
      <vt:lpstr>Sensitivity Analyses</vt:lpstr>
      <vt:lpstr>Central Data Control</vt:lpstr>
      <vt:lpstr>Sensitivity Setup</vt:lpstr>
      <vt:lpstr>Tornado Setup</vt:lpstr>
      <vt:lpstr>c_select_results_time</vt:lpstr>
      <vt:lpstr>cactual_cases</vt:lpstr>
      <vt:lpstr>cactual_contacts</vt:lpstr>
      <vt:lpstr>cases_default_range</vt:lpstr>
      <vt:lpstr>cases_input_range</vt:lpstr>
      <vt:lpstr>ccase_backlog</vt:lpstr>
      <vt:lpstr>ccase_backlog3hours</vt:lpstr>
      <vt:lpstr>ccase_backloghours</vt:lpstr>
      <vt:lpstr>ccase_coor_staff</vt:lpstr>
      <vt:lpstr>ccase_investigators</vt:lpstr>
      <vt:lpstr>ccase_supervisor_staff</vt:lpstr>
      <vt:lpstr>ccontact_backlog</vt:lpstr>
      <vt:lpstr>ccontact_backlog3hours</vt:lpstr>
      <vt:lpstr>ccontact_backloghours</vt:lpstr>
      <vt:lpstr>ccontact_capacity</vt:lpstr>
      <vt:lpstr>ccontact_tracers</vt:lpstr>
      <vt:lpstr>ccoor_daily_cases</vt:lpstr>
      <vt:lpstr>cinput_case_hrs_not_reached</vt:lpstr>
      <vt:lpstr>cinput_case_hrs_reached</vt:lpstr>
      <vt:lpstr>cinput_case_prop_reached</vt:lpstr>
      <vt:lpstr>cinput_cont_hrs_not_reached</vt:lpstr>
      <vt:lpstr>cinput_cont_hrs_reached</vt:lpstr>
      <vt:lpstr>cinput_cont_n</vt:lpstr>
      <vt:lpstr>cinput_cont_prop_reached</vt:lpstr>
      <vt:lpstr>cinput_fup_hrs_call</vt:lpstr>
      <vt:lpstr>cinput_fup_hrs_text</vt:lpstr>
      <vt:lpstr>cinput_fup_n_call</vt:lpstr>
      <vt:lpstr>cinput_fup_n_text</vt:lpstr>
      <vt:lpstr>cinput_staff_hrs</vt:lpstr>
      <vt:lpstr>cinvestigator_capacity</vt:lpstr>
      <vt:lpstr>cmax_contacts_by_case</vt:lpstr>
      <vt:lpstr>cnew_daily_case</vt:lpstr>
      <vt:lpstr>cproj_case</vt:lpstr>
      <vt:lpstr>cproj_contact</vt:lpstr>
      <vt:lpstr>cproj_coor</vt:lpstr>
      <vt:lpstr>cproj_supervisor</vt:lpstr>
      <vt:lpstr>cprop_case_coor</vt:lpstr>
      <vt:lpstr>cprop_contact_coor</vt:lpstr>
      <vt:lpstr>cresource_coord</vt:lpstr>
      <vt:lpstr>cstaff_per_supervisor</vt:lpstr>
      <vt:lpstr>csupervisors</vt:lpstr>
      <vt:lpstr>DSA_count_nonzero</vt:lpstr>
      <vt:lpstr>DSA_tornado_index</vt:lpstr>
      <vt:lpstr>DSA_tornado_select</vt:lpstr>
      <vt:lpstr>DSA_total_list</vt:lpstr>
      <vt:lpstr>DSA_total_number</vt:lpstr>
      <vt:lpstr>DSAbaseinputs</vt:lpstr>
      <vt:lpstr>DSAbaseinputs_static</vt:lpstr>
      <vt:lpstr>fake_base_case</vt:lpstr>
      <vt:lpstr>InitialDSA</vt:lpstr>
      <vt:lpstr>InitialDSA_n_case_inv</vt:lpstr>
      <vt:lpstr>InitialDSA_n_cont_trac</vt:lpstr>
      <vt:lpstr>InitialDSA_n_tot_staff</vt:lpstr>
      <vt:lpstr>InitialDSA_tot_cost</vt:lpstr>
      <vt:lpstr>input_case_hrs_not_reached</vt:lpstr>
      <vt:lpstr>input_case_hrs_reached</vt:lpstr>
      <vt:lpstr>input_case_n</vt:lpstr>
      <vt:lpstr>input_case_prop_reached</vt:lpstr>
      <vt:lpstr>input_cont_hrs_not_reached</vt:lpstr>
      <vt:lpstr>input_cont_hrs_reached</vt:lpstr>
      <vt:lpstr>input_cont_n</vt:lpstr>
      <vt:lpstr>input_cont_prop_reached</vt:lpstr>
      <vt:lpstr>input_fup_hrs_call</vt:lpstr>
      <vt:lpstr>input_fup_hrs_text</vt:lpstr>
      <vt:lpstr>input_fup_n_call</vt:lpstr>
      <vt:lpstr>input_fup_n_text</vt:lpstr>
      <vt:lpstr>input_n_per_manager</vt:lpstr>
      <vt:lpstr>input_rc_N_day</vt:lpstr>
      <vt:lpstr>input_rc_prop</vt:lpstr>
      <vt:lpstr>input_rc_prop_contact</vt:lpstr>
      <vt:lpstr>input_staff_hrs</vt:lpstr>
      <vt:lpstr>input_staff_n_super</vt:lpstr>
      <vt:lpstr>input_wage_case_inv</vt:lpstr>
      <vt:lpstr>input_wage_cont_trac</vt:lpstr>
      <vt:lpstr>input_wage_rcoord</vt:lpstr>
      <vt:lpstr>option_default_user</vt:lpstr>
      <vt:lpstr>option_DSA_tornado</vt:lpstr>
      <vt:lpstr>option_results_time</vt:lpstr>
      <vt:lpstr>result_n_case_inv</vt:lpstr>
      <vt:lpstr>result_n_cont_trac</vt:lpstr>
      <vt:lpstr>result_n_tot_staff</vt:lpstr>
      <vt:lpstr>result_tot_cost</vt:lpstr>
      <vt:lpstr>SAparam</vt:lpstr>
      <vt:lpstr>select_results_time</vt:lpstr>
      <vt:lpstr>sort.width.start</vt:lpstr>
      <vt:lpstr>staff_default_range</vt:lpstr>
      <vt:lpstr>staff_input_range</vt:lpstr>
      <vt:lpstr>tornado_center</vt:lpstr>
      <vt:lpstr>tornado_center_orig</vt:lpstr>
      <vt:lpstr>tornado_nparam</vt:lpstr>
      <vt:lpstr>tornado_sort_range_dyn</vt:lpstr>
      <vt:lpstr>tornado_sort_range_static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Allison Briggs</dc:creator>
  <cp:lastModifiedBy>Kelsey Soderberg</cp:lastModifiedBy>
  <dcterms:created xsi:type="dcterms:W3CDTF">2018-04-08T23:50:52Z</dcterms:created>
  <dcterms:modified xsi:type="dcterms:W3CDTF">2020-08-31T17:01:00Z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0x010100AF99B433BE5D3D4FBA482D1904FBCC39</vt:lpwstr>
  </property>
</Properties>
</file>